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20" yWindow="15" windowWidth="23130" windowHeight="14490" activeTab="1"/>
  </bookViews>
  <sheets>
    <sheet name="SUMMARY" sheetId="16" r:id="rId1"/>
    <sheet name="Pre- and Production" sheetId="13" r:id="rId2"/>
    <sheet name="Rates" sheetId="15" r:id="rId3"/>
    <sheet name="Material Estimates" sheetId="17" r:id="rId4"/>
  </sheets>
  <definedNames>
    <definedName name="CMM">Rates!$C$5</definedName>
    <definedName name="DES">Rates!$C$8</definedName>
    <definedName name="ENG">Rates!$C$7</definedName>
    <definedName name="M_Tech">Rates!$C$6</definedName>
    <definedName name="MT">Rates!$C$6</definedName>
    <definedName name="_xlnm.Print_Area" localSheetId="0">SUMMARY!$B$5:$S$48</definedName>
    <definedName name="Shop">Rates!$C$4</definedName>
  </definedNames>
  <calcPr calcId="125725"/>
</workbook>
</file>

<file path=xl/calcChain.xml><?xml version="1.0" encoding="utf-8"?>
<calcChain xmlns="http://schemas.openxmlformats.org/spreadsheetml/2006/main">
  <c r="T154" i="13"/>
  <c r="T153"/>
  <c r="T152"/>
  <c r="T151"/>
  <c r="T150"/>
  <c r="T149"/>
  <c r="T148"/>
  <c r="T144"/>
  <c r="T143"/>
  <c r="T142"/>
  <c r="T141"/>
  <c r="T140"/>
  <c r="T139"/>
  <c r="T138"/>
  <c r="T137"/>
  <c r="T136"/>
  <c r="T135"/>
  <c r="T133"/>
  <c r="T132"/>
  <c r="T131"/>
  <c r="T130"/>
  <c r="T124"/>
  <c r="T123"/>
  <c r="T122"/>
  <c r="T121"/>
  <c r="T120"/>
  <c r="T119"/>
  <c r="T118"/>
  <c r="T117"/>
  <c r="T116"/>
  <c r="T115"/>
  <c r="T113"/>
  <c r="T112"/>
  <c r="T111"/>
  <c r="T110"/>
  <c r="T109"/>
  <c r="T107"/>
  <c r="T106"/>
  <c r="T105"/>
  <c r="T104"/>
  <c r="T103"/>
  <c r="T101"/>
  <c r="T100"/>
  <c r="T99"/>
  <c r="T98"/>
  <c r="T97"/>
  <c r="T96"/>
  <c r="T94"/>
  <c r="T93"/>
  <c r="T92"/>
  <c r="T90"/>
  <c r="T89"/>
  <c r="T88"/>
  <c r="T86"/>
  <c r="T85"/>
  <c r="T84"/>
  <c r="T83"/>
  <c r="T81"/>
  <c r="T80"/>
  <c r="T78"/>
  <c r="T77"/>
  <c r="T76"/>
  <c r="T75"/>
  <c r="T74"/>
  <c r="T73"/>
  <c r="T67"/>
  <c r="T66"/>
  <c r="T65"/>
  <c r="T63"/>
  <c r="T62"/>
  <c r="T61"/>
  <c r="T60"/>
  <c r="T59"/>
  <c r="T58"/>
  <c r="T57"/>
  <c r="T56"/>
  <c r="T55"/>
  <c r="T54"/>
  <c r="T53"/>
  <c r="T52"/>
  <c r="T50"/>
  <c r="T49"/>
  <c r="T48"/>
  <c r="T47"/>
  <c r="T46"/>
  <c r="T45"/>
  <c r="T44"/>
  <c r="T43"/>
  <c r="T42"/>
  <c r="T41"/>
  <c r="T40"/>
  <c r="T39"/>
  <c r="T38"/>
  <c r="T37"/>
  <c r="T36"/>
  <c r="T34"/>
  <c r="T33"/>
  <c r="T32"/>
  <c r="T31"/>
  <c r="T30"/>
  <c r="T29"/>
  <c r="T27"/>
  <c r="T26"/>
  <c r="T24"/>
  <c r="T23"/>
  <c r="T18"/>
  <c r="T17"/>
  <c r="T16"/>
  <c r="T15"/>
  <c r="T14"/>
  <c r="T13"/>
  <c r="T12"/>
  <c r="T11"/>
  <c r="T10"/>
  <c r="T9"/>
  <c r="W172" s="1"/>
  <c r="T8"/>
  <c r="T7"/>
  <c r="T6"/>
  <c r="T5"/>
  <c r="AQ17"/>
  <c r="AP17"/>
  <c r="AO17"/>
  <c r="AN17"/>
  <c r="AM17"/>
  <c r="AL17"/>
  <c r="AF17"/>
  <c r="AE17"/>
  <c r="AD17"/>
  <c r="AC17"/>
  <c r="AB17"/>
  <c r="S17"/>
  <c r="M17"/>
  <c r="F17"/>
  <c r="AG17" s="1"/>
  <c r="AQ132"/>
  <c r="AP132"/>
  <c r="AO132"/>
  <c r="AN132"/>
  <c r="AM132"/>
  <c r="AL132"/>
  <c r="AF132"/>
  <c r="AE132"/>
  <c r="AD132"/>
  <c r="AC132"/>
  <c r="AB132"/>
  <c r="S132"/>
  <c r="M132"/>
  <c r="F132"/>
  <c r="AG132" s="1"/>
  <c r="W167" l="1"/>
  <c r="V169"/>
  <c r="W160"/>
  <c r="W162"/>
  <c r="W169"/>
  <c r="W165"/>
  <c r="W163"/>
  <c r="W170"/>
  <c r="O17"/>
  <c r="O132"/>
  <c r="E10"/>
  <c r="AP94" l="1"/>
  <c r="AO94"/>
  <c r="AN94"/>
  <c r="AM94"/>
  <c r="AL94"/>
  <c r="AG94"/>
  <c r="AF94"/>
  <c r="AE94"/>
  <c r="AD94"/>
  <c r="AC94"/>
  <c r="AB94"/>
  <c r="S94"/>
  <c r="M94"/>
  <c r="F94"/>
  <c r="AQ94" s="1"/>
  <c r="AQ93"/>
  <c r="AP93"/>
  <c r="AO93"/>
  <c r="AN93"/>
  <c r="AM93"/>
  <c r="AL93"/>
  <c r="AF93"/>
  <c r="AE93"/>
  <c r="AD93"/>
  <c r="AC93"/>
  <c r="AB93"/>
  <c r="S93"/>
  <c r="M93"/>
  <c r="O93" s="1"/>
  <c r="F93"/>
  <c r="AG93" s="1"/>
  <c r="AQ92"/>
  <c r="AP92"/>
  <c r="AO92"/>
  <c r="AN92"/>
  <c r="AM92"/>
  <c r="AL92"/>
  <c r="AF92"/>
  <c r="AE92"/>
  <c r="AD92"/>
  <c r="AC92"/>
  <c r="AB92"/>
  <c r="S92"/>
  <c r="M92"/>
  <c r="O92" s="1"/>
  <c r="W164" s="1"/>
  <c r="F92"/>
  <c r="AG92" s="1"/>
  <c r="AP10"/>
  <c r="AO10"/>
  <c r="AN10"/>
  <c r="AM10"/>
  <c r="AL10"/>
  <c r="AF10"/>
  <c r="AE10"/>
  <c r="AD10"/>
  <c r="AC10"/>
  <c r="AB10"/>
  <c r="S10"/>
  <c r="M10"/>
  <c r="F10"/>
  <c r="AG10" s="1"/>
  <c r="T30" i="17"/>
  <c r="S30"/>
  <c r="R30"/>
  <c r="L30"/>
  <c r="M30" s="1"/>
  <c r="Q30" s="1"/>
  <c r="T28"/>
  <c r="S28"/>
  <c r="R28"/>
  <c r="L28"/>
  <c r="N28" s="1"/>
  <c r="T27"/>
  <c r="S27"/>
  <c r="R27"/>
  <c r="L27"/>
  <c r="M27" s="1"/>
  <c r="Q27" s="1"/>
  <c r="M33" i="13"/>
  <c r="AQ33"/>
  <c r="AP33"/>
  <c r="AO33"/>
  <c r="AN33"/>
  <c r="AM33"/>
  <c r="AL33"/>
  <c r="AF33"/>
  <c r="AE33"/>
  <c r="AD33"/>
  <c r="AC33"/>
  <c r="AB33"/>
  <c r="S33"/>
  <c r="F33"/>
  <c r="AG33" s="1"/>
  <c r="AQ30"/>
  <c r="AP30"/>
  <c r="AO30"/>
  <c r="AN30"/>
  <c r="AM30"/>
  <c r="AL30"/>
  <c r="AF30"/>
  <c r="AE30"/>
  <c r="AD30"/>
  <c r="AC30"/>
  <c r="AB30"/>
  <c r="S30"/>
  <c r="M30"/>
  <c r="F30"/>
  <c r="AG30" s="1"/>
  <c r="L23" i="15"/>
  <c r="L24"/>
  <c r="I24"/>
  <c r="I23"/>
  <c r="L33" i="17"/>
  <c r="M33" s="1"/>
  <c r="L24"/>
  <c r="N24" s="1"/>
  <c r="S24" s="1"/>
  <c r="T23"/>
  <c r="S23"/>
  <c r="R23"/>
  <c r="L23"/>
  <c r="M23" s="1"/>
  <c r="Q23" s="1"/>
  <c r="T14"/>
  <c r="S14"/>
  <c r="R14"/>
  <c r="L14"/>
  <c r="M14" s="1"/>
  <c r="Q14" s="1"/>
  <c r="L22" i="15"/>
  <c r="I22"/>
  <c r="H22"/>
  <c r="L21"/>
  <c r="H21"/>
  <c r="I21" s="1"/>
  <c r="L20"/>
  <c r="H20"/>
  <c r="I20" s="1"/>
  <c r="L19"/>
  <c r="I19"/>
  <c r="L18"/>
  <c r="I18"/>
  <c r="L17"/>
  <c r="I17"/>
  <c r="L16"/>
  <c r="I16"/>
  <c r="L15"/>
  <c r="I15"/>
  <c r="L14"/>
  <c r="I14"/>
  <c r="L13"/>
  <c r="I13"/>
  <c r="L12"/>
  <c r="I12"/>
  <c r="L11"/>
  <c r="I11"/>
  <c r="L10"/>
  <c r="I10"/>
  <c r="L9"/>
  <c r="I9"/>
  <c r="L8"/>
  <c r="I8"/>
  <c r="L7"/>
  <c r="I7"/>
  <c r="L6"/>
  <c r="I6"/>
  <c r="L5"/>
  <c r="I5"/>
  <c r="T40" i="17"/>
  <c r="S40"/>
  <c r="R40"/>
  <c r="L40"/>
  <c r="N40" s="1"/>
  <c r="T38"/>
  <c r="S38"/>
  <c r="R38"/>
  <c r="L38"/>
  <c r="N38" s="1"/>
  <c r="T21"/>
  <c r="S21"/>
  <c r="R21"/>
  <c r="L21"/>
  <c r="N21" s="1"/>
  <c r="T20"/>
  <c r="S20"/>
  <c r="R20"/>
  <c r="L20"/>
  <c r="N20" s="1"/>
  <c r="L17"/>
  <c r="N17" s="1"/>
  <c r="S17" s="1"/>
  <c r="T16"/>
  <c r="S16"/>
  <c r="R16"/>
  <c r="L16"/>
  <c r="N16" s="1"/>
  <c r="L10"/>
  <c r="N10" s="1"/>
  <c r="T9"/>
  <c r="S9"/>
  <c r="R9"/>
  <c r="L9"/>
  <c r="N9" s="1"/>
  <c r="T37"/>
  <c r="S37"/>
  <c r="R37"/>
  <c r="L37"/>
  <c r="N37" s="1"/>
  <c r="T36"/>
  <c r="S36"/>
  <c r="R36"/>
  <c r="L36"/>
  <c r="N36" s="1"/>
  <c r="T13"/>
  <c r="S13"/>
  <c r="R13"/>
  <c r="L13"/>
  <c r="N13" s="1"/>
  <c r="T7"/>
  <c r="S7"/>
  <c r="R7"/>
  <c r="L7"/>
  <c r="N7" s="1"/>
  <c r="T6"/>
  <c r="S6"/>
  <c r="R6"/>
  <c r="L6"/>
  <c r="N6" s="1"/>
  <c r="AQ10" i="13" l="1"/>
  <c r="O94"/>
  <c r="W171" s="1"/>
  <c r="M95"/>
  <c r="O10"/>
  <c r="V172" s="1"/>
  <c r="M28" i="17"/>
  <c r="Q28" s="1"/>
  <c r="N27"/>
  <c r="N30"/>
  <c r="O30" i="13"/>
  <c r="O33"/>
  <c r="Q33" i="17"/>
  <c r="T33" s="1"/>
  <c r="R33"/>
  <c r="N33"/>
  <c r="S33" s="1"/>
  <c r="M24"/>
  <c r="R24" s="1"/>
  <c r="N23"/>
  <c r="Q24"/>
  <c r="T24" s="1"/>
  <c r="N14"/>
  <c r="M20"/>
  <c r="Q20" s="1"/>
  <c r="M36"/>
  <c r="Q36" s="1"/>
  <c r="D47"/>
  <c r="S10"/>
  <c r="D45" s="1"/>
  <c r="M7"/>
  <c r="Q7" s="1"/>
  <c r="M10"/>
  <c r="Q10" s="1"/>
  <c r="T10" s="1"/>
  <c r="C50"/>
  <c r="D50" s="1"/>
  <c r="M16"/>
  <c r="Q16" s="1"/>
  <c r="M21"/>
  <c r="Q21" s="1"/>
  <c r="M6"/>
  <c r="M13"/>
  <c r="Q13" s="1"/>
  <c r="M37"/>
  <c r="Q37" s="1"/>
  <c r="M9"/>
  <c r="Q9" s="1"/>
  <c r="M17"/>
  <c r="M38"/>
  <c r="Q38" s="1"/>
  <c r="M40"/>
  <c r="Q40" s="1"/>
  <c r="R10" l="1"/>
  <c r="E50"/>
  <c r="D46"/>
  <c r="C53"/>
  <c r="Q6"/>
  <c r="R17"/>
  <c r="C45" s="1"/>
  <c r="Q17"/>
  <c r="T17" s="1"/>
  <c r="E45" s="1"/>
  <c r="C47"/>
  <c r="E47"/>
  <c r="E46" l="1"/>
  <c r="G47"/>
  <c r="E53"/>
  <c r="Q42"/>
  <c r="C46"/>
  <c r="AQ61" i="13" l="1"/>
  <c r="AP61"/>
  <c r="AO61"/>
  <c r="AN61"/>
  <c r="AM61"/>
  <c r="AL61"/>
  <c r="AF61"/>
  <c r="AE61"/>
  <c r="AD61"/>
  <c r="AC61"/>
  <c r="AB61"/>
  <c r="S61"/>
  <c r="M61"/>
  <c r="F61"/>
  <c r="AG61" s="1"/>
  <c r="AP58"/>
  <c r="AO58"/>
  <c r="AN58"/>
  <c r="AM58"/>
  <c r="AL58"/>
  <c r="AG58"/>
  <c r="AF58"/>
  <c r="AE58"/>
  <c r="AD58"/>
  <c r="AC58"/>
  <c r="AB58"/>
  <c r="S58"/>
  <c r="M58"/>
  <c r="F58"/>
  <c r="AQ58" s="1"/>
  <c r="AQ55"/>
  <c r="AP55"/>
  <c r="AO55"/>
  <c r="AN55"/>
  <c r="AM55"/>
  <c r="AL55"/>
  <c r="AF55"/>
  <c r="AE55"/>
  <c r="AD55"/>
  <c r="AC55"/>
  <c r="AB55"/>
  <c r="S55"/>
  <c r="M55"/>
  <c r="O55" s="1"/>
  <c r="F55"/>
  <c r="AG55" s="1"/>
  <c r="AP54"/>
  <c r="AO54"/>
  <c r="AN54"/>
  <c r="AM54"/>
  <c r="AL54"/>
  <c r="AG54"/>
  <c r="AF54"/>
  <c r="AE54"/>
  <c r="AD54"/>
  <c r="AC54"/>
  <c r="AB54"/>
  <c r="S54"/>
  <c r="M54"/>
  <c r="F54"/>
  <c r="AQ54" s="1"/>
  <c r="F56"/>
  <c r="M56"/>
  <c r="O56" s="1"/>
  <c r="S56"/>
  <c r="AB56"/>
  <c r="AC56"/>
  <c r="AD56"/>
  <c r="AE56"/>
  <c r="AF56"/>
  <c r="AG56"/>
  <c r="AL56"/>
  <c r="AM56"/>
  <c r="AN56"/>
  <c r="AO56"/>
  <c r="AP56"/>
  <c r="AQ56"/>
  <c r="F57"/>
  <c r="M57"/>
  <c r="S57"/>
  <c r="AB57"/>
  <c r="AC57"/>
  <c r="AD57"/>
  <c r="AE57"/>
  <c r="AF57"/>
  <c r="AG57"/>
  <c r="AL57"/>
  <c r="AM57"/>
  <c r="AN57"/>
  <c r="AO57"/>
  <c r="AP57"/>
  <c r="AQ57"/>
  <c r="AQ96"/>
  <c r="AP96"/>
  <c r="AO96"/>
  <c r="AN96"/>
  <c r="AM96"/>
  <c r="AL96"/>
  <c r="AF96"/>
  <c r="AE96"/>
  <c r="AD96"/>
  <c r="AC96"/>
  <c r="AB96"/>
  <c r="S96"/>
  <c r="M96"/>
  <c r="F96"/>
  <c r="AG96" s="1"/>
  <c r="AP50"/>
  <c r="AO50"/>
  <c r="AN50"/>
  <c r="AM50"/>
  <c r="AL50"/>
  <c r="AF50"/>
  <c r="AE50"/>
  <c r="AD50"/>
  <c r="AC50"/>
  <c r="AB50"/>
  <c r="S50"/>
  <c r="M50"/>
  <c r="F50"/>
  <c r="AQ50" s="1"/>
  <c r="AP49"/>
  <c r="AO49"/>
  <c r="AN49"/>
  <c r="AM49"/>
  <c r="AL49"/>
  <c r="AF49"/>
  <c r="AE49"/>
  <c r="AD49"/>
  <c r="AC49"/>
  <c r="AB49"/>
  <c r="S49"/>
  <c r="M49"/>
  <c r="F49"/>
  <c r="AQ49" s="1"/>
  <c r="AP48"/>
  <c r="AO48"/>
  <c r="AN48"/>
  <c r="AM48"/>
  <c r="AL48"/>
  <c r="AF48"/>
  <c r="AE48"/>
  <c r="AD48"/>
  <c r="AC48"/>
  <c r="AB48"/>
  <c r="S48"/>
  <c r="M48"/>
  <c r="F48"/>
  <c r="AQ48" s="1"/>
  <c r="AP47"/>
  <c r="AO47"/>
  <c r="AN47"/>
  <c r="AM47"/>
  <c r="AL47"/>
  <c r="AF47"/>
  <c r="AE47"/>
  <c r="AD47"/>
  <c r="AC47"/>
  <c r="AB47"/>
  <c r="S47"/>
  <c r="M47"/>
  <c r="F47"/>
  <c r="AG47" s="1"/>
  <c r="AP46"/>
  <c r="AO46"/>
  <c r="AN46"/>
  <c r="AM46"/>
  <c r="AL46"/>
  <c r="AG46"/>
  <c r="AF46"/>
  <c r="AE46"/>
  <c r="AD46"/>
  <c r="AC46"/>
  <c r="AB46"/>
  <c r="S46"/>
  <c r="M46"/>
  <c r="F46"/>
  <c r="AQ46" s="1"/>
  <c r="AP45"/>
  <c r="AO45"/>
  <c r="AN45"/>
  <c r="AM45"/>
  <c r="AL45"/>
  <c r="AG45"/>
  <c r="AF45"/>
  <c r="AE45"/>
  <c r="AD45"/>
  <c r="AC45"/>
  <c r="AB45"/>
  <c r="S45"/>
  <c r="M45"/>
  <c r="F45"/>
  <c r="AQ45" s="1"/>
  <c r="AP44"/>
  <c r="AO44"/>
  <c r="AN44"/>
  <c r="AM44"/>
  <c r="AL44"/>
  <c r="AG44"/>
  <c r="AF44"/>
  <c r="AE44"/>
  <c r="AD44"/>
  <c r="AC44"/>
  <c r="AB44"/>
  <c r="S44"/>
  <c r="M44"/>
  <c r="F44"/>
  <c r="AQ44" s="1"/>
  <c r="O58" l="1"/>
  <c r="O45"/>
  <c r="O96"/>
  <c r="O57"/>
  <c r="O54"/>
  <c r="O61"/>
  <c r="AG48"/>
  <c r="AG49"/>
  <c r="AG50"/>
  <c r="O48"/>
  <c r="O50"/>
  <c r="O49"/>
  <c r="O47"/>
  <c r="AQ47"/>
  <c r="O44"/>
  <c r="V167" s="1"/>
  <c r="O46"/>
  <c r="AQ109"/>
  <c r="AP109"/>
  <c r="AO109"/>
  <c r="AN109"/>
  <c r="AM109"/>
  <c r="AL109"/>
  <c r="AF109"/>
  <c r="AE109"/>
  <c r="AD109"/>
  <c r="AC109"/>
  <c r="AB109"/>
  <c r="S109"/>
  <c r="M109"/>
  <c r="F109"/>
  <c r="AG109" s="1"/>
  <c r="AP144"/>
  <c r="AO144"/>
  <c r="AN144"/>
  <c r="AM144"/>
  <c r="AL144"/>
  <c r="AG144"/>
  <c r="AF144"/>
  <c r="AE144"/>
  <c r="AD144"/>
  <c r="AC144"/>
  <c r="AB144"/>
  <c r="S144"/>
  <c r="M144"/>
  <c r="F144"/>
  <c r="AQ144" s="1"/>
  <c r="AP143"/>
  <c r="AO143"/>
  <c r="AN143"/>
  <c r="AM143"/>
  <c r="AL143"/>
  <c r="AF143"/>
  <c r="AE143"/>
  <c r="AD143"/>
  <c r="AC143"/>
  <c r="AB143"/>
  <c r="S143"/>
  <c r="M143"/>
  <c r="F143"/>
  <c r="AG143" s="1"/>
  <c r="AP142"/>
  <c r="AO142"/>
  <c r="AN142"/>
  <c r="AM142"/>
  <c r="AL142"/>
  <c r="AF142"/>
  <c r="AE142"/>
  <c r="AD142"/>
  <c r="AC142"/>
  <c r="AB142"/>
  <c r="S142"/>
  <c r="M142"/>
  <c r="F142"/>
  <c r="AG142" s="1"/>
  <c r="AP141"/>
  <c r="AO141"/>
  <c r="AN141"/>
  <c r="AM141"/>
  <c r="AL141"/>
  <c r="AF141"/>
  <c r="AE141"/>
  <c r="AD141"/>
  <c r="AC141"/>
  <c r="AB141"/>
  <c r="S141"/>
  <c r="M141"/>
  <c r="F141"/>
  <c r="AG141" s="1"/>
  <c r="AP140"/>
  <c r="AO140"/>
  <c r="AN140"/>
  <c r="AM140"/>
  <c r="AL140"/>
  <c r="AF140"/>
  <c r="AE140"/>
  <c r="AD140"/>
  <c r="AC140"/>
  <c r="AB140"/>
  <c r="S140"/>
  <c r="M140"/>
  <c r="F140"/>
  <c r="AG140" s="1"/>
  <c r="F67"/>
  <c r="M67"/>
  <c r="S67"/>
  <c r="AB67"/>
  <c r="AC67"/>
  <c r="AD67"/>
  <c r="AE67"/>
  <c r="AF67"/>
  <c r="AG67"/>
  <c r="AL67"/>
  <c r="AM67"/>
  <c r="AN67"/>
  <c r="AO67"/>
  <c r="AP67"/>
  <c r="AQ67"/>
  <c r="AP86"/>
  <c r="AO86"/>
  <c r="AN86"/>
  <c r="AM86"/>
  <c r="AL86"/>
  <c r="AF86"/>
  <c r="AE86"/>
  <c r="AD86"/>
  <c r="AC86"/>
  <c r="AB86"/>
  <c r="S86"/>
  <c r="M86"/>
  <c r="F86"/>
  <c r="AQ86" s="1"/>
  <c r="AP120"/>
  <c r="AO120"/>
  <c r="AN120"/>
  <c r="AM120"/>
  <c r="AL120"/>
  <c r="AG120"/>
  <c r="AF120"/>
  <c r="AE120"/>
  <c r="AD120"/>
  <c r="AC120"/>
  <c r="AB120"/>
  <c r="S120"/>
  <c r="M120"/>
  <c r="F120"/>
  <c r="AQ120" s="1"/>
  <c r="AP118"/>
  <c r="AO118"/>
  <c r="AN118"/>
  <c r="AM118"/>
  <c r="AL118"/>
  <c r="AG118"/>
  <c r="AF118"/>
  <c r="AE118"/>
  <c r="AD118"/>
  <c r="AC118"/>
  <c r="AB118"/>
  <c r="S118"/>
  <c r="M118"/>
  <c r="F118"/>
  <c r="AQ118" s="1"/>
  <c r="AQ117"/>
  <c r="AP117"/>
  <c r="AO117"/>
  <c r="AN117"/>
  <c r="AM117"/>
  <c r="AL117"/>
  <c r="AF117"/>
  <c r="AE117"/>
  <c r="AD117"/>
  <c r="AC117"/>
  <c r="AB117"/>
  <c r="S117"/>
  <c r="M117"/>
  <c r="F117"/>
  <c r="AG117" s="1"/>
  <c r="AP111"/>
  <c r="AO111"/>
  <c r="AN111"/>
  <c r="AM111"/>
  <c r="AL111"/>
  <c r="AF111"/>
  <c r="AE111"/>
  <c r="AD111"/>
  <c r="AC111"/>
  <c r="AB111"/>
  <c r="S111"/>
  <c r="M111"/>
  <c r="F111"/>
  <c r="AG111" s="1"/>
  <c r="AP113"/>
  <c r="AO113"/>
  <c r="AN113"/>
  <c r="AM113"/>
  <c r="AL113"/>
  <c r="AG113"/>
  <c r="AF113"/>
  <c r="AE113"/>
  <c r="AD113"/>
  <c r="AC113"/>
  <c r="AB113"/>
  <c r="S113"/>
  <c r="M113"/>
  <c r="F113"/>
  <c r="AQ113" s="1"/>
  <c r="AQ112"/>
  <c r="AP112"/>
  <c r="AO112"/>
  <c r="AN112"/>
  <c r="AM112"/>
  <c r="AL112"/>
  <c r="AF112"/>
  <c r="AE112"/>
  <c r="AD112"/>
  <c r="AC112"/>
  <c r="AB112"/>
  <c r="S112"/>
  <c r="M112"/>
  <c r="F112"/>
  <c r="AG112" s="1"/>
  <c r="AQ110"/>
  <c r="AP110"/>
  <c r="AO110"/>
  <c r="AN110"/>
  <c r="AM110"/>
  <c r="AL110"/>
  <c r="AF110"/>
  <c r="AE110"/>
  <c r="AD110"/>
  <c r="AC110"/>
  <c r="AB110"/>
  <c r="S110"/>
  <c r="M110"/>
  <c r="F110"/>
  <c r="AG110" s="1"/>
  <c r="AP122"/>
  <c r="AO122"/>
  <c r="AN122"/>
  <c r="AM122"/>
  <c r="AL122"/>
  <c r="AG122"/>
  <c r="AF122"/>
  <c r="AE122"/>
  <c r="AD122"/>
  <c r="AC122"/>
  <c r="AB122"/>
  <c r="S122"/>
  <c r="M122"/>
  <c r="F122"/>
  <c r="AQ122" s="1"/>
  <c r="AQ121"/>
  <c r="AP121"/>
  <c r="AO121"/>
  <c r="AN121"/>
  <c r="AM121"/>
  <c r="AL121"/>
  <c r="AF121"/>
  <c r="AE121"/>
  <c r="AD121"/>
  <c r="AC121"/>
  <c r="AB121"/>
  <c r="S121"/>
  <c r="M121"/>
  <c r="F121"/>
  <c r="AG121" s="1"/>
  <c r="AP119"/>
  <c r="AO119"/>
  <c r="AN119"/>
  <c r="AM119"/>
  <c r="AL119"/>
  <c r="AF119"/>
  <c r="AE119"/>
  <c r="AD119"/>
  <c r="AC119"/>
  <c r="AB119"/>
  <c r="S119"/>
  <c r="M119"/>
  <c r="F119"/>
  <c r="AQ119" s="1"/>
  <c r="AP116"/>
  <c r="AO116"/>
  <c r="AN116"/>
  <c r="AM116"/>
  <c r="AL116"/>
  <c r="AF116"/>
  <c r="AE116"/>
  <c r="AD116"/>
  <c r="AC116"/>
  <c r="AB116"/>
  <c r="S116"/>
  <c r="M116"/>
  <c r="F116"/>
  <c r="AG116" s="1"/>
  <c r="AQ115"/>
  <c r="AP115"/>
  <c r="AO115"/>
  <c r="AN115"/>
  <c r="AM115"/>
  <c r="AL115"/>
  <c r="AF115"/>
  <c r="AE115"/>
  <c r="AD115"/>
  <c r="AC115"/>
  <c r="AB115"/>
  <c r="S115"/>
  <c r="M115"/>
  <c r="F115"/>
  <c r="AG115" s="1"/>
  <c r="AP107"/>
  <c r="AO107"/>
  <c r="AN107"/>
  <c r="AM107"/>
  <c r="AL107"/>
  <c r="AG107"/>
  <c r="AF107"/>
  <c r="AE107"/>
  <c r="AD107"/>
  <c r="AC107"/>
  <c r="AB107"/>
  <c r="S107"/>
  <c r="M107"/>
  <c r="F107"/>
  <c r="AQ107" s="1"/>
  <c r="AQ106"/>
  <c r="AP106"/>
  <c r="AO106"/>
  <c r="AN106"/>
  <c r="AM106"/>
  <c r="AL106"/>
  <c r="AF106"/>
  <c r="AE106"/>
  <c r="AD106"/>
  <c r="AC106"/>
  <c r="AB106"/>
  <c r="S106"/>
  <c r="M106"/>
  <c r="F106"/>
  <c r="AG106" s="1"/>
  <c r="AP105"/>
  <c r="AO105"/>
  <c r="AN105"/>
  <c r="AM105"/>
  <c r="AL105"/>
  <c r="AG105"/>
  <c r="AF105"/>
  <c r="AE105"/>
  <c r="AD105"/>
  <c r="AC105"/>
  <c r="AB105"/>
  <c r="S105"/>
  <c r="M105"/>
  <c r="F105"/>
  <c r="AQ105" s="1"/>
  <c r="AQ104"/>
  <c r="AP104"/>
  <c r="AO104"/>
  <c r="AN104"/>
  <c r="AM104"/>
  <c r="AL104"/>
  <c r="AF104"/>
  <c r="AE104"/>
  <c r="AD104"/>
  <c r="AC104"/>
  <c r="AB104"/>
  <c r="S104"/>
  <c r="M104"/>
  <c r="F104"/>
  <c r="AG104" s="1"/>
  <c r="AQ103"/>
  <c r="AP103"/>
  <c r="AO103"/>
  <c r="AN103"/>
  <c r="AM103"/>
  <c r="AL103"/>
  <c r="AF103"/>
  <c r="AE103"/>
  <c r="AD103"/>
  <c r="AC103"/>
  <c r="AB103"/>
  <c r="S103"/>
  <c r="M103"/>
  <c r="F103"/>
  <c r="AG103" s="1"/>
  <c r="AQ74"/>
  <c r="AP74"/>
  <c r="AO74"/>
  <c r="AN74"/>
  <c r="AM74"/>
  <c r="AL74"/>
  <c r="AF74"/>
  <c r="AE74"/>
  <c r="AD74"/>
  <c r="AC74"/>
  <c r="AB74"/>
  <c r="S74"/>
  <c r="M74"/>
  <c r="F74"/>
  <c r="AG74" s="1"/>
  <c r="AP77"/>
  <c r="AO77"/>
  <c r="AN77"/>
  <c r="AM77"/>
  <c r="AL77"/>
  <c r="AF77"/>
  <c r="AE77"/>
  <c r="AD77"/>
  <c r="AC77"/>
  <c r="AB77"/>
  <c r="S77"/>
  <c r="M77"/>
  <c r="F77"/>
  <c r="AG77" s="1"/>
  <c r="AP76"/>
  <c r="AO76"/>
  <c r="AN76"/>
  <c r="AM76"/>
  <c r="AL76"/>
  <c r="AF76"/>
  <c r="AE76"/>
  <c r="AD76"/>
  <c r="AC76"/>
  <c r="AB76"/>
  <c r="S76"/>
  <c r="M76"/>
  <c r="F76"/>
  <c r="AG76" s="1"/>
  <c r="AQ100"/>
  <c r="AP100"/>
  <c r="AO100"/>
  <c r="AN100"/>
  <c r="AM100"/>
  <c r="AL100"/>
  <c r="AF100"/>
  <c r="AE100"/>
  <c r="AD100"/>
  <c r="AC100"/>
  <c r="AB100"/>
  <c r="S100"/>
  <c r="M100"/>
  <c r="F100"/>
  <c r="AG100" s="1"/>
  <c r="AQ98"/>
  <c r="AP98"/>
  <c r="AO98"/>
  <c r="AN98"/>
  <c r="AM98"/>
  <c r="AL98"/>
  <c r="AF98"/>
  <c r="AE98"/>
  <c r="AD98"/>
  <c r="AC98"/>
  <c r="AB98"/>
  <c r="S98"/>
  <c r="M98"/>
  <c r="F98"/>
  <c r="AG98" s="1"/>
  <c r="AQ32"/>
  <c r="AP32"/>
  <c r="AO32"/>
  <c r="AN32"/>
  <c r="AM32"/>
  <c r="AL32"/>
  <c r="AF32"/>
  <c r="AE32"/>
  <c r="AD32"/>
  <c r="AC32"/>
  <c r="AB32"/>
  <c r="S32"/>
  <c r="M32"/>
  <c r="F32"/>
  <c r="AG32" s="1"/>
  <c r="AQ29"/>
  <c r="AP29"/>
  <c r="AO29"/>
  <c r="AN29"/>
  <c r="AM29"/>
  <c r="AL29"/>
  <c r="AF29"/>
  <c r="AE29"/>
  <c r="AD29"/>
  <c r="AC29"/>
  <c r="AB29"/>
  <c r="S29"/>
  <c r="M29"/>
  <c r="M35" s="1"/>
  <c r="F29"/>
  <c r="AG29" s="1"/>
  <c r="AQ53"/>
  <c r="AP53"/>
  <c r="AO53"/>
  <c r="AN53"/>
  <c r="AM53"/>
  <c r="AL53"/>
  <c r="AF53"/>
  <c r="AE53"/>
  <c r="AD53"/>
  <c r="AC53"/>
  <c r="AB53"/>
  <c r="S53"/>
  <c r="M53"/>
  <c r="F53"/>
  <c r="AG53" s="1"/>
  <c r="AQ52"/>
  <c r="AP52"/>
  <c r="AO52"/>
  <c r="AN52"/>
  <c r="AM52"/>
  <c r="AL52"/>
  <c r="AF52"/>
  <c r="AE52"/>
  <c r="AD52"/>
  <c r="AC52"/>
  <c r="AB52"/>
  <c r="S52"/>
  <c r="M52"/>
  <c r="M64" s="1"/>
  <c r="F52"/>
  <c r="AG52" s="1"/>
  <c r="AP60"/>
  <c r="AO60"/>
  <c r="AN60"/>
  <c r="AM60"/>
  <c r="AL60"/>
  <c r="AF60"/>
  <c r="AE60"/>
  <c r="AD60"/>
  <c r="AC60"/>
  <c r="AB60"/>
  <c r="S60"/>
  <c r="M60"/>
  <c r="F60"/>
  <c r="AG60" s="1"/>
  <c r="AP59"/>
  <c r="AO59"/>
  <c r="AN59"/>
  <c r="AM59"/>
  <c r="AL59"/>
  <c r="AF59"/>
  <c r="AE59"/>
  <c r="AD59"/>
  <c r="AC59"/>
  <c r="AB59"/>
  <c r="S59"/>
  <c r="M59"/>
  <c r="F59"/>
  <c r="AG59" s="1"/>
  <c r="AQ42"/>
  <c r="AP42"/>
  <c r="AO42"/>
  <c r="AN42"/>
  <c r="AM42"/>
  <c r="AL42"/>
  <c r="AF42"/>
  <c r="AE42"/>
  <c r="AD42"/>
  <c r="AC42"/>
  <c r="AB42"/>
  <c r="S42"/>
  <c r="M42"/>
  <c r="F42"/>
  <c r="AG42" s="1"/>
  <c r="AQ39"/>
  <c r="AP39"/>
  <c r="AO39"/>
  <c r="AN39"/>
  <c r="AM39"/>
  <c r="AL39"/>
  <c r="AF39"/>
  <c r="AE39"/>
  <c r="AD39"/>
  <c r="AC39"/>
  <c r="AB39"/>
  <c r="S39"/>
  <c r="M39"/>
  <c r="F39"/>
  <c r="AG39" s="1"/>
  <c r="AQ43"/>
  <c r="AP43"/>
  <c r="AO43"/>
  <c r="AN43"/>
  <c r="AM43"/>
  <c r="AL43"/>
  <c r="AF43"/>
  <c r="AE43"/>
  <c r="AD43"/>
  <c r="AC43"/>
  <c r="AB43"/>
  <c r="S43"/>
  <c r="M43"/>
  <c r="F43"/>
  <c r="AG43" s="1"/>
  <c r="AQ41"/>
  <c r="AP41"/>
  <c r="AO41"/>
  <c r="AN41"/>
  <c r="AM41"/>
  <c r="AL41"/>
  <c r="AF41"/>
  <c r="AE41"/>
  <c r="AD41"/>
  <c r="AC41"/>
  <c r="AB41"/>
  <c r="S41"/>
  <c r="M41"/>
  <c r="F41"/>
  <c r="AG41" s="1"/>
  <c r="AQ40"/>
  <c r="AP40"/>
  <c r="AO40"/>
  <c r="AN40"/>
  <c r="AM40"/>
  <c r="AL40"/>
  <c r="AF40"/>
  <c r="AE40"/>
  <c r="AD40"/>
  <c r="AC40"/>
  <c r="AB40"/>
  <c r="S40"/>
  <c r="M40"/>
  <c r="F40"/>
  <c r="AG40" s="1"/>
  <c r="AQ37"/>
  <c r="AP37"/>
  <c r="AO37"/>
  <c r="AN37"/>
  <c r="AM37"/>
  <c r="AL37"/>
  <c r="AF37"/>
  <c r="AE37"/>
  <c r="AD37"/>
  <c r="AC37"/>
  <c r="AB37"/>
  <c r="S37"/>
  <c r="M37"/>
  <c r="F37"/>
  <c r="AG37" s="1"/>
  <c r="AP63"/>
  <c r="AO63"/>
  <c r="AN63"/>
  <c r="AM63"/>
  <c r="AL63"/>
  <c r="S63"/>
  <c r="AF63"/>
  <c r="M63"/>
  <c r="F63"/>
  <c r="AG63" s="1"/>
  <c r="AP62"/>
  <c r="AO62"/>
  <c r="AN62"/>
  <c r="AM62"/>
  <c r="AL62"/>
  <c r="S62"/>
  <c r="AF62"/>
  <c r="M62"/>
  <c r="F62"/>
  <c r="AG62" s="1"/>
  <c r="AQ38"/>
  <c r="AP38"/>
  <c r="AO38"/>
  <c r="AN38"/>
  <c r="AM38"/>
  <c r="AL38"/>
  <c r="AF38"/>
  <c r="AE38"/>
  <c r="AD38"/>
  <c r="AC38"/>
  <c r="AB38"/>
  <c r="S38"/>
  <c r="M38"/>
  <c r="F38"/>
  <c r="AG38" s="1"/>
  <c r="AQ36"/>
  <c r="AP36"/>
  <c r="AO36"/>
  <c r="AN36"/>
  <c r="AM36"/>
  <c r="AL36"/>
  <c r="AF36"/>
  <c r="AE36"/>
  <c r="AD36"/>
  <c r="AC36"/>
  <c r="AB36"/>
  <c r="S36"/>
  <c r="M36"/>
  <c r="M51" s="1"/>
  <c r="F36"/>
  <c r="AG36" s="1"/>
  <c r="AQ14"/>
  <c r="AP14"/>
  <c r="AO14"/>
  <c r="AN14"/>
  <c r="AM14"/>
  <c r="AL14"/>
  <c r="AF14"/>
  <c r="AE14"/>
  <c r="AD14"/>
  <c r="AC14"/>
  <c r="AB14"/>
  <c r="S14"/>
  <c r="M14"/>
  <c r="F14"/>
  <c r="AG14" s="1"/>
  <c r="AQ27"/>
  <c r="AP27"/>
  <c r="AO27"/>
  <c r="AN27"/>
  <c r="AM27"/>
  <c r="AL27"/>
  <c r="S27"/>
  <c r="N27"/>
  <c r="AF27" s="1"/>
  <c r="M27"/>
  <c r="F27"/>
  <c r="AG27" s="1"/>
  <c r="AQ26"/>
  <c r="AP26"/>
  <c r="AO26"/>
  <c r="AN26"/>
  <c r="AM26"/>
  <c r="AL26"/>
  <c r="S26"/>
  <c r="N26"/>
  <c r="AF26" s="1"/>
  <c r="AE26"/>
  <c r="F26"/>
  <c r="AG26" s="1"/>
  <c r="F23"/>
  <c r="M23"/>
  <c r="S23"/>
  <c r="AB23"/>
  <c r="AC23"/>
  <c r="AD23"/>
  <c r="AE23"/>
  <c r="AF23"/>
  <c r="AG23"/>
  <c r="AL23"/>
  <c r="AM23"/>
  <c r="AN23"/>
  <c r="AO23"/>
  <c r="AP23"/>
  <c r="AQ23"/>
  <c r="F24"/>
  <c r="M24"/>
  <c r="S24"/>
  <c r="AB24"/>
  <c r="AC24"/>
  <c r="AD24"/>
  <c r="AE24"/>
  <c r="AF24"/>
  <c r="AG24"/>
  <c r="AL24"/>
  <c r="AM24"/>
  <c r="AN24"/>
  <c r="AO24"/>
  <c r="AP24"/>
  <c r="AQ24"/>
  <c r="F31"/>
  <c r="M31"/>
  <c r="S31"/>
  <c r="AB31"/>
  <c r="AC31"/>
  <c r="AD31"/>
  <c r="AE31"/>
  <c r="AF31"/>
  <c r="AG31"/>
  <c r="AL31"/>
  <c r="AM31"/>
  <c r="AN31"/>
  <c r="AO31"/>
  <c r="AP31"/>
  <c r="AQ31"/>
  <c r="F34"/>
  <c r="M34"/>
  <c r="S34"/>
  <c r="AB34"/>
  <c r="AC34"/>
  <c r="AD34"/>
  <c r="AE34"/>
  <c r="AF34"/>
  <c r="AG34"/>
  <c r="AL34"/>
  <c r="AM34"/>
  <c r="AN34"/>
  <c r="AO34"/>
  <c r="AP34"/>
  <c r="AQ34"/>
  <c r="F150"/>
  <c r="AQ133"/>
  <c r="AP133"/>
  <c r="AO133"/>
  <c r="AN133"/>
  <c r="AM133"/>
  <c r="AL133"/>
  <c r="AF133"/>
  <c r="AE133"/>
  <c r="AD133"/>
  <c r="AC133"/>
  <c r="AB133"/>
  <c r="S133"/>
  <c r="M133"/>
  <c r="F133"/>
  <c r="AG133" s="1"/>
  <c r="AQ131"/>
  <c r="AP131"/>
  <c r="AO131"/>
  <c r="AN131"/>
  <c r="AM131"/>
  <c r="AL131"/>
  <c r="AF131"/>
  <c r="AE131"/>
  <c r="AD131"/>
  <c r="AC131"/>
  <c r="AB131"/>
  <c r="S131"/>
  <c r="M131"/>
  <c r="F131"/>
  <c r="AG131" s="1"/>
  <c r="AQ130"/>
  <c r="AP130"/>
  <c r="AO130"/>
  <c r="AN130"/>
  <c r="AM130"/>
  <c r="AL130"/>
  <c r="AF130"/>
  <c r="AE130"/>
  <c r="AD130"/>
  <c r="AC130"/>
  <c r="AB130"/>
  <c r="S130"/>
  <c r="M130"/>
  <c r="F130"/>
  <c r="AG130" s="1"/>
  <c r="O67" l="1"/>
  <c r="O31"/>
  <c r="M134"/>
  <c r="O34"/>
  <c r="O24"/>
  <c r="O140"/>
  <c r="AQ140"/>
  <c r="O141"/>
  <c r="AQ141"/>
  <c r="O142"/>
  <c r="AQ142"/>
  <c r="O143"/>
  <c r="AQ143"/>
  <c r="O144"/>
  <c r="O109"/>
  <c r="M114"/>
  <c r="O86"/>
  <c r="AG86"/>
  <c r="M108"/>
  <c r="AG119"/>
  <c r="O111"/>
  <c r="AQ111"/>
  <c r="O117"/>
  <c r="O120"/>
  <c r="O118"/>
  <c r="AQ116"/>
  <c r="O98"/>
  <c r="O100"/>
  <c r="O77"/>
  <c r="AQ77"/>
  <c r="O106"/>
  <c r="O107"/>
  <c r="O115"/>
  <c r="O116"/>
  <c r="O119"/>
  <c r="O121"/>
  <c r="O122"/>
  <c r="O113"/>
  <c r="O112"/>
  <c r="O110"/>
  <c r="O105"/>
  <c r="O104"/>
  <c r="O103"/>
  <c r="AQ76"/>
  <c r="O74"/>
  <c r="O76"/>
  <c r="AQ62"/>
  <c r="AQ63"/>
  <c r="O41"/>
  <c r="O43"/>
  <c r="O39"/>
  <c r="O42"/>
  <c r="O59"/>
  <c r="V168" s="1"/>
  <c r="AQ59"/>
  <c r="O60"/>
  <c r="AQ60"/>
  <c r="O52"/>
  <c r="O53"/>
  <c r="O29"/>
  <c r="O32"/>
  <c r="O40"/>
  <c r="O37"/>
  <c r="O36"/>
  <c r="V160" s="1"/>
  <c r="O38"/>
  <c r="O62"/>
  <c r="O63"/>
  <c r="AB62"/>
  <c r="AC62"/>
  <c r="AD62"/>
  <c r="AE62"/>
  <c r="AB63"/>
  <c r="AC63"/>
  <c r="AD63"/>
  <c r="AE63"/>
  <c r="O27"/>
  <c r="O14"/>
  <c r="M26"/>
  <c r="AB26"/>
  <c r="AC26"/>
  <c r="AD26"/>
  <c r="AB27"/>
  <c r="AC27"/>
  <c r="AD27"/>
  <c r="AE27"/>
  <c r="O23"/>
  <c r="O130"/>
  <c r="O131"/>
  <c r="O133"/>
  <c r="C5" i="16"/>
  <c r="M5"/>
  <c r="C6"/>
  <c r="D6"/>
  <c r="E6"/>
  <c r="F6"/>
  <c r="G6"/>
  <c r="H6"/>
  <c r="M6"/>
  <c r="N6"/>
  <c r="O6"/>
  <c r="P6"/>
  <c r="Q6"/>
  <c r="R6"/>
  <c r="C12"/>
  <c r="M12"/>
  <c r="C13"/>
  <c r="D13"/>
  <c r="E13"/>
  <c r="F13"/>
  <c r="G13"/>
  <c r="H13"/>
  <c r="I13"/>
  <c r="M13"/>
  <c r="N13"/>
  <c r="O13"/>
  <c r="P13"/>
  <c r="Q13"/>
  <c r="R13"/>
  <c r="S13"/>
  <c r="H17"/>
  <c r="R17"/>
  <c r="R18"/>
  <c r="C20"/>
  <c r="M20"/>
  <c r="C21"/>
  <c r="D21"/>
  <c r="E21"/>
  <c r="F21"/>
  <c r="G21"/>
  <c r="H21"/>
  <c r="M21"/>
  <c r="N21"/>
  <c r="O21"/>
  <c r="P21"/>
  <c r="Q21"/>
  <c r="R21"/>
  <c r="L22"/>
  <c r="L23"/>
  <c r="L24"/>
  <c r="L25"/>
  <c r="L26"/>
  <c r="C27"/>
  <c r="M27"/>
  <c r="C28"/>
  <c r="D28"/>
  <c r="E28"/>
  <c r="F28"/>
  <c r="G28"/>
  <c r="H28"/>
  <c r="I28"/>
  <c r="M28"/>
  <c r="N28"/>
  <c r="O28"/>
  <c r="P28"/>
  <c r="Q28"/>
  <c r="R28"/>
  <c r="S28"/>
  <c r="H32"/>
  <c r="R32"/>
  <c r="R33"/>
  <c r="C35"/>
  <c r="M35"/>
  <c r="C36"/>
  <c r="D36"/>
  <c r="E36"/>
  <c r="F36"/>
  <c r="G36"/>
  <c r="H36"/>
  <c r="M36"/>
  <c r="N36"/>
  <c r="O36"/>
  <c r="P36"/>
  <c r="Q36"/>
  <c r="R36"/>
  <c r="L37"/>
  <c r="L38"/>
  <c r="L39"/>
  <c r="L40"/>
  <c r="L41"/>
  <c r="C42"/>
  <c r="M42"/>
  <c r="C43"/>
  <c r="D43"/>
  <c r="E43"/>
  <c r="F43"/>
  <c r="G43"/>
  <c r="H43"/>
  <c r="I43"/>
  <c r="M43"/>
  <c r="N43"/>
  <c r="O43"/>
  <c r="P43"/>
  <c r="Q43"/>
  <c r="R43"/>
  <c r="S43"/>
  <c r="H47"/>
  <c r="R47"/>
  <c r="R48"/>
  <c r="B6"/>
  <c r="B7"/>
  <c r="B8"/>
  <c r="B9"/>
  <c r="B10"/>
  <c r="B11"/>
  <c r="B22"/>
  <c r="B23"/>
  <c r="B24"/>
  <c r="B25"/>
  <c r="B26"/>
  <c r="B37"/>
  <c r="B38"/>
  <c r="B39"/>
  <c r="B40"/>
  <c r="B41"/>
  <c r="AK202" i="13"/>
  <c r="L46" i="16" s="1"/>
  <c r="AK201" i="13"/>
  <c r="L45" i="16" s="1"/>
  <c r="AK200" i="13"/>
  <c r="L44" i="16" s="1"/>
  <c r="AA202" i="13"/>
  <c r="B46" i="16" s="1"/>
  <c r="AA201" i="13"/>
  <c r="B45" i="16" s="1"/>
  <c r="AA200" i="13"/>
  <c r="B44" i="16" s="1"/>
  <c r="AK187" i="13"/>
  <c r="L31" i="16" s="1"/>
  <c r="L30"/>
  <c r="AK185" i="13"/>
  <c r="L29" i="16" s="1"/>
  <c r="AA187" i="13"/>
  <c r="B31" i="16" s="1"/>
  <c r="AA186" i="13"/>
  <c r="B30" i="16" s="1"/>
  <c r="AA185" i="13"/>
  <c r="B29" i="16" s="1"/>
  <c r="S154" i="13"/>
  <c r="S153"/>
  <c r="S152"/>
  <c r="S151"/>
  <c r="S150"/>
  <c r="S149"/>
  <c r="S148"/>
  <c r="S66"/>
  <c r="S65"/>
  <c r="S139"/>
  <c r="S138"/>
  <c r="S137"/>
  <c r="S136"/>
  <c r="S135"/>
  <c r="S90"/>
  <c r="S89"/>
  <c r="S88"/>
  <c r="S85"/>
  <c r="S84"/>
  <c r="S83"/>
  <c r="S81"/>
  <c r="S80"/>
  <c r="S78"/>
  <c r="S75"/>
  <c r="S73"/>
  <c r="S124"/>
  <c r="S123"/>
  <c r="S101"/>
  <c r="S99"/>
  <c r="S97"/>
  <c r="S18"/>
  <c r="S16"/>
  <c r="S15"/>
  <c r="S13"/>
  <c r="S12"/>
  <c r="S11"/>
  <c r="S9"/>
  <c r="S8"/>
  <c r="S7"/>
  <c r="S6"/>
  <c r="S5"/>
  <c r="AQ137"/>
  <c r="AP137"/>
  <c r="AO137"/>
  <c r="AN137"/>
  <c r="AM137"/>
  <c r="AL137"/>
  <c r="AF137"/>
  <c r="AE137"/>
  <c r="AD137"/>
  <c r="AC137"/>
  <c r="AB137"/>
  <c r="M137"/>
  <c r="F137"/>
  <c r="AG137" s="1"/>
  <c r="AP90"/>
  <c r="AO90"/>
  <c r="AN90"/>
  <c r="AM90"/>
  <c r="AL90"/>
  <c r="AF90"/>
  <c r="AE90"/>
  <c r="AD90"/>
  <c r="AC90"/>
  <c r="AB90"/>
  <c r="M90"/>
  <c r="F90"/>
  <c r="AG90" s="1"/>
  <c r="AF154"/>
  <c r="AE154"/>
  <c r="AD154"/>
  <c r="AC154"/>
  <c r="AB154"/>
  <c r="AF153"/>
  <c r="AE153"/>
  <c r="AD153"/>
  <c r="AC153"/>
  <c r="AB153"/>
  <c r="AF152"/>
  <c r="AE152"/>
  <c r="AD152"/>
  <c r="AC152"/>
  <c r="AB152"/>
  <c r="AF151"/>
  <c r="AE151"/>
  <c r="AD151"/>
  <c r="AC151"/>
  <c r="AB151"/>
  <c r="AF150"/>
  <c r="AE150"/>
  <c r="AD150"/>
  <c r="AC150"/>
  <c r="AB150"/>
  <c r="AF149"/>
  <c r="AE149"/>
  <c r="AD149"/>
  <c r="AC149"/>
  <c r="AB149"/>
  <c r="AF148"/>
  <c r="AF155" s="1"/>
  <c r="AE148"/>
  <c r="AD148"/>
  <c r="AD155" s="1"/>
  <c r="AC148"/>
  <c r="AB148"/>
  <c r="AB155" s="1"/>
  <c r="AF66"/>
  <c r="AE66"/>
  <c r="AD66"/>
  <c r="AC66"/>
  <c r="AB66"/>
  <c r="AF65"/>
  <c r="AF68" s="1"/>
  <c r="AE65"/>
  <c r="AD65"/>
  <c r="AC65"/>
  <c r="AB65"/>
  <c r="AG139"/>
  <c r="AF139"/>
  <c r="AE139"/>
  <c r="AD139"/>
  <c r="AC139"/>
  <c r="AB139"/>
  <c r="AF138"/>
  <c r="AE138"/>
  <c r="AD138"/>
  <c r="AC138"/>
  <c r="AB138"/>
  <c r="AF136"/>
  <c r="AE136"/>
  <c r="AD136"/>
  <c r="AC136"/>
  <c r="AB136"/>
  <c r="AF135"/>
  <c r="AE135"/>
  <c r="AE145" s="1"/>
  <c r="AD135"/>
  <c r="AC135"/>
  <c r="AC145" s="1"/>
  <c r="AB135"/>
  <c r="AF89"/>
  <c r="AE89"/>
  <c r="AD89"/>
  <c r="AC89"/>
  <c r="AB89"/>
  <c r="AF88"/>
  <c r="AE88"/>
  <c r="AD88"/>
  <c r="AC88"/>
  <c r="AB88"/>
  <c r="AF85"/>
  <c r="AE85"/>
  <c r="AD85"/>
  <c r="AC85"/>
  <c r="AB85"/>
  <c r="AF84"/>
  <c r="AE84"/>
  <c r="AD84"/>
  <c r="AC84"/>
  <c r="AB84"/>
  <c r="AF83"/>
  <c r="AE83"/>
  <c r="AD83"/>
  <c r="AC83"/>
  <c r="AB83"/>
  <c r="AF81"/>
  <c r="AE81"/>
  <c r="AD81"/>
  <c r="AC81"/>
  <c r="AB81"/>
  <c r="AF80"/>
  <c r="AE80"/>
  <c r="AD80"/>
  <c r="AC80"/>
  <c r="AB80"/>
  <c r="AF78"/>
  <c r="AE78"/>
  <c r="AD78"/>
  <c r="AC78"/>
  <c r="AB78"/>
  <c r="AF75"/>
  <c r="AE75"/>
  <c r="AD75"/>
  <c r="AC75"/>
  <c r="AB75"/>
  <c r="AF73"/>
  <c r="AE73"/>
  <c r="AD73"/>
  <c r="AC73"/>
  <c r="AB73"/>
  <c r="AF124"/>
  <c r="AE124"/>
  <c r="AD124"/>
  <c r="AC124"/>
  <c r="AB124"/>
  <c r="AF123"/>
  <c r="AE123"/>
  <c r="AD123"/>
  <c r="AC123"/>
  <c r="AB123"/>
  <c r="AF101"/>
  <c r="AE101"/>
  <c r="AD101"/>
  <c r="AC101"/>
  <c r="AB101"/>
  <c r="AF99"/>
  <c r="AE99"/>
  <c r="AD99"/>
  <c r="AC99"/>
  <c r="AB99"/>
  <c r="AF97"/>
  <c r="AE97"/>
  <c r="AD97"/>
  <c r="AC97"/>
  <c r="AB97"/>
  <c r="AG166"/>
  <c r="H10" i="16" s="1"/>
  <c r="AP66" i="13"/>
  <c r="AO66"/>
  <c r="AN66"/>
  <c r="AM66"/>
  <c r="AL66"/>
  <c r="M66"/>
  <c r="F66"/>
  <c r="AQ66" s="1"/>
  <c r="AP65"/>
  <c r="AO65"/>
  <c r="AN65"/>
  <c r="AM65"/>
  <c r="AL65"/>
  <c r="M65"/>
  <c r="F65"/>
  <c r="AQ65" s="1"/>
  <c r="AQ15"/>
  <c r="AP15"/>
  <c r="AO15"/>
  <c r="AN15"/>
  <c r="AM15"/>
  <c r="AL15"/>
  <c r="AF15"/>
  <c r="AE15"/>
  <c r="AD15"/>
  <c r="AC15"/>
  <c r="AB15"/>
  <c r="M15"/>
  <c r="F15"/>
  <c r="AG15" s="1"/>
  <c r="AQ16"/>
  <c r="AP16"/>
  <c r="AO16"/>
  <c r="AN16"/>
  <c r="AM16"/>
  <c r="AL16"/>
  <c r="AF16"/>
  <c r="AE16"/>
  <c r="AD16"/>
  <c r="AC16"/>
  <c r="AB16"/>
  <c r="M16"/>
  <c r="F16"/>
  <c r="AG16" s="1"/>
  <c r="AP139"/>
  <c r="AO139"/>
  <c r="AN139"/>
  <c r="AM139"/>
  <c r="AL139"/>
  <c r="M139"/>
  <c r="F139"/>
  <c r="AQ139" s="1"/>
  <c r="AP138"/>
  <c r="AO138"/>
  <c r="AN138"/>
  <c r="AM138"/>
  <c r="AL138"/>
  <c r="M138"/>
  <c r="F138"/>
  <c r="AG138" s="1"/>
  <c r="AP136"/>
  <c r="AO136"/>
  <c r="AN136"/>
  <c r="AM136"/>
  <c r="AL136"/>
  <c r="M136"/>
  <c r="F136"/>
  <c r="AG136" s="1"/>
  <c r="AP135"/>
  <c r="AO135"/>
  <c r="AN135"/>
  <c r="AM135"/>
  <c r="AL135"/>
  <c r="M135"/>
  <c r="F135"/>
  <c r="AG135" s="1"/>
  <c r="AQ89"/>
  <c r="AP89"/>
  <c r="AO89"/>
  <c r="AN89"/>
  <c r="AM89"/>
  <c r="AL89"/>
  <c r="M89"/>
  <c r="F89"/>
  <c r="AG89" s="1"/>
  <c r="AQ88"/>
  <c r="AP88"/>
  <c r="AO88"/>
  <c r="AN88"/>
  <c r="AM88"/>
  <c r="AL88"/>
  <c r="M88"/>
  <c r="M91" s="1"/>
  <c r="F88"/>
  <c r="AG88" s="1"/>
  <c r="AP84"/>
  <c r="AO84"/>
  <c r="AN84"/>
  <c r="AM84"/>
  <c r="AL84"/>
  <c r="M84"/>
  <c r="F84"/>
  <c r="AG84" s="1"/>
  <c r="AP85"/>
  <c r="AO85"/>
  <c r="AN85"/>
  <c r="AM85"/>
  <c r="AL85"/>
  <c r="M85"/>
  <c r="F85"/>
  <c r="AG85" s="1"/>
  <c r="AQ83"/>
  <c r="AP83"/>
  <c r="AO83"/>
  <c r="AN83"/>
  <c r="AM83"/>
  <c r="AL83"/>
  <c r="M83"/>
  <c r="F83"/>
  <c r="AG83" s="1"/>
  <c r="AP81"/>
  <c r="AO81"/>
  <c r="AN81"/>
  <c r="AM81"/>
  <c r="AL81"/>
  <c r="M81"/>
  <c r="F81"/>
  <c r="AG81" s="1"/>
  <c r="AP80"/>
  <c r="AO80"/>
  <c r="AN80"/>
  <c r="AM80"/>
  <c r="AL80"/>
  <c r="M80"/>
  <c r="F80"/>
  <c r="AG80" s="1"/>
  <c r="M78"/>
  <c r="AQ75"/>
  <c r="AP75"/>
  <c r="AO75"/>
  <c r="AN75"/>
  <c r="AM75"/>
  <c r="AL75"/>
  <c r="M75"/>
  <c r="F75"/>
  <c r="AG75" s="1"/>
  <c r="AQ78"/>
  <c r="AP78"/>
  <c r="AO78"/>
  <c r="AN78"/>
  <c r="AM78"/>
  <c r="AL78"/>
  <c r="F78"/>
  <c r="AG78" s="1"/>
  <c r="AQ73"/>
  <c r="AP73"/>
  <c r="AO73"/>
  <c r="AN73"/>
  <c r="AM73"/>
  <c r="AL73"/>
  <c r="M73"/>
  <c r="F73"/>
  <c r="AG73" s="1"/>
  <c r="AP124"/>
  <c r="AO124"/>
  <c r="AN124"/>
  <c r="AM124"/>
  <c r="AL124"/>
  <c r="M124"/>
  <c r="F124"/>
  <c r="AG124" s="1"/>
  <c r="AP123"/>
  <c r="M123"/>
  <c r="M126" s="1"/>
  <c r="F123"/>
  <c r="AQ123" s="1"/>
  <c r="AP101"/>
  <c r="AO101"/>
  <c r="AN101"/>
  <c r="AM101"/>
  <c r="AL101"/>
  <c r="M101"/>
  <c r="F101"/>
  <c r="AG101" s="1"/>
  <c r="AP99"/>
  <c r="AO99"/>
  <c r="AN99"/>
  <c r="AM99"/>
  <c r="AL99"/>
  <c r="M99"/>
  <c r="F99"/>
  <c r="AG99" s="1"/>
  <c r="AQ18"/>
  <c r="AP18"/>
  <c r="AO18"/>
  <c r="AN18"/>
  <c r="AM18"/>
  <c r="AL18"/>
  <c r="AF18"/>
  <c r="AE18"/>
  <c r="AD18"/>
  <c r="AC18"/>
  <c r="AB18"/>
  <c r="M18"/>
  <c r="F18"/>
  <c r="AG18" s="1"/>
  <c r="AP13"/>
  <c r="AO13"/>
  <c r="AN13"/>
  <c r="AM13"/>
  <c r="AL13"/>
  <c r="AF13"/>
  <c r="AE13"/>
  <c r="AD13"/>
  <c r="AC13"/>
  <c r="AB13"/>
  <c r="M13"/>
  <c r="F13"/>
  <c r="AG13" s="1"/>
  <c r="AP12"/>
  <c r="AO12"/>
  <c r="AN12"/>
  <c r="AM12"/>
  <c r="AL12"/>
  <c r="AF12"/>
  <c r="AE12"/>
  <c r="AD12"/>
  <c r="AC12"/>
  <c r="AB12"/>
  <c r="M12"/>
  <c r="F12"/>
  <c r="AG12" s="1"/>
  <c r="AP11"/>
  <c r="AO11"/>
  <c r="AN11"/>
  <c r="AM11"/>
  <c r="AL11"/>
  <c r="AF11"/>
  <c r="AE11"/>
  <c r="AD11"/>
  <c r="AC11"/>
  <c r="AB11"/>
  <c r="M11"/>
  <c r="F11"/>
  <c r="AG11" s="1"/>
  <c r="AP9"/>
  <c r="AO9"/>
  <c r="AN9"/>
  <c r="AM9"/>
  <c r="AL9"/>
  <c r="AF9"/>
  <c r="AE9"/>
  <c r="AD9"/>
  <c r="AC9"/>
  <c r="AB9"/>
  <c r="M9"/>
  <c r="F9"/>
  <c r="AG9" s="1"/>
  <c r="AA172"/>
  <c r="B16" i="16" s="1"/>
  <c r="AL165" i="13"/>
  <c r="AL172" s="1"/>
  <c r="M16" i="16" s="1"/>
  <c r="AM165" i="13"/>
  <c r="AM172" s="1"/>
  <c r="N16" i="16" s="1"/>
  <c r="AN165" i="13"/>
  <c r="AN172" s="1"/>
  <c r="O16" i="16" s="1"/>
  <c r="AO165" i="13"/>
  <c r="AO172" s="1"/>
  <c r="P16" i="16" s="1"/>
  <c r="AP165" i="13"/>
  <c r="AP172" s="1"/>
  <c r="Q16" i="16" s="1"/>
  <c r="AQ165" i="13"/>
  <c r="AQ172" s="1"/>
  <c r="R16" i="16" s="1"/>
  <c r="AL166" i="13"/>
  <c r="M10" i="16" s="1"/>
  <c r="AM166" i="13"/>
  <c r="N10" i="16" s="1"/>
  <c r="AN166" i="13"/>
  <c r="O10" i="16" s="1"/>
  <c r="AO166" i="13"/>
  <c r="P10" i="16" s="1"/>
  <c r="AP166" i="13"/>
  <c r="Q10" i="16" s="1"/>
  <c r="AK165" i="13"/>
  <c r="AK172" s="1"/>
  <c r="L16" i="16" s="1"/>
  <c r="AK166" i="13"/>
  <c r="L10" i="16" s="1"/>
  <c r="AK167" i="13"/>
  <c r="L11" i="16" s="1"/>
  <c r="AB165" i="13"/>
  <c r="AB172" s="1"/>
  <c r="C16" i="16" s="1"/>
  <c r="AC165" i="13"/>
  <c r="AC172" s="1"/>
  <c r="D16" i="16" s="1"/>
  <c r="AD165" i="13"/>
  <c r="AD172" s="1"/>
  <c r="E16" i="16" s="1"/>
  <c r="AE165" i="13"/>
  <c r="AE172" s="1"/>
  <c r="F16" i="16" s="1"/>
  <c r="AF165" i="13"/>
  <c r="AF172" s="1"/>
  <c r="G16" i="16" s="1"/>
  <c r="AG165" i="13"/>
  <c r="AG172" s="1"/>
  <c r="H16" i="16" s="1"/>
  <c r="AB166" i="13"/>
  <c r="C10" i="16" s="1"/>
  <c r="AC166" i="13"/>
  <c r="D10" i="16" s="1"/>
  <c r="AD166" i="13"/>
  <c r="E10" i="16" s="1"/>
  <c r="AE166" i="13"/>
  <c r="F10" i="16" s="1"/>
  <c r="AF166" i="13"/>
  <c r="G10" i="16" s="1"/>
  <c r="AA171" i="13"/>
  <c r="B15" i="16" s="1"/>
  <c r="AA170" i="13"/>
  <c r="B14" i="16" s="1"/>
  <c r="AK164" i="13"/>
  <c r="AK171" s="1"/>
  <c r="L15" i="16" s="1"/>
  <c r="AK163" i="13"/>
  <c r="AK170" s="1"/>
  <c r="L14" i="16" s="1"/>
  <c r="AQ167" i="13"/>
  <c r="R11" i="16" s="1"/>
  <c r="AP167" i="13"/>
  <c r="Q11" i="16" s="1"/>
  <c r="AO167" i="13"/>
  <c r="P11" i="16" s="1"/>
  <c r="AN167" i="13"/>
  <c r="O11" i="16" s="1"/>
  <c r="AM167" i="13"/>
  <c r="N11" i="16" s="1"/>
  <c r="AL167" i="13"/>
  <c r="M11" i="16" s="1"/>
  <c r="AC167" i="13"/>
  <c r="D11" i="16" s="1"/>
  <c r="AD167" i="13"/>
  <c r="E11" i="16" s="1"/>
  <c r="AE167" i="13"/>
  <c r="F11" i="16" s="1"/>
  <c r="AF167" i="13"/>
  <c r="G11" i="16" s="1"/>
  <c r="AG167" i="13"/>
  <c r="H11" i="16" s="1"/>
  <c r="AB167" i="13"/>
  <c r="C11" i="16" s="1"/>
  <c r="AQ154" i="13"/>
  <c r="AP154"/>
  <c r="AO154"/>
  <c r="AN154"/>
  <c r="AM154"/>
  <c r="AL154"/>
  <c r="AQ153"/>
  <c r="AP153"/>
  <c r="AO153"/>
  <c r="AN153"/>
  <c r="AM153"/>
  <c r="AL153"/>
  <c r="AQ152"/>
  <c r="AP152"/>
  <c r="AO152"/>
  <c r="AN152"/>
  <c r="AM152"/>
  <c r="AL152"/>
  <c r="AQ151"/>
  <c r="AP151"/>
  <c r="AO151"/>
  <c r="AN151"/>
  <c r="AM151"/>
  <c r="AL151"/>
  <c r="AQ150"/>
  <c r="AP150"/>
  <c r="AO150"/>
  <c r="AN150"/>
  <c r="AM150"/>
  <c r="AL150"/>
  <c r="AQ149"/>
  <c r="AP149"/>
  <c r="AO149"/>
  <c r="AN149"/>
  <c r="AM149"/>
  <c r="AL149"/>
  <c r="AQ148"/>
  <c r="AP148"/>
  <c r="AO148"/>
  <c r="AN148"/>
  <c r="AM148"/>
  <c r="AL148"/>
  <c r="AQ97"/>
  <c r="AP97"/>
  <c r="AO97"/>
  <c r="AN97"/>
  <c r="AM97"/>
  <c r="AL97"/>
  <c r="M148"/>
  <c r="M154"/>
  <c r="M153"/>
  <c r="M152"/>
  <c r="O152" s="1"/>
  <c r="M151"/>
  <c r="M150"/>
  <c r="M149"/>
  <c r="M97"/>
  <c r="M102" s="1"/>
  <c r="AB5"/>
  <c r="AL6"/>
  <c r="AM6"/>
  <c r="AN6"/>
  <c r="AO6"/>
  <c r="AP6"/>
  <c r="AL7"/>
  <c r="AM7"/>
  <c r="AN7"/>
  <c r="AO7"/>
  <c r="AP7"/>
  <c r="AL8"/>
  <c r="AM8"/>
  <c r="AN8"/>
  <c r="AO8"/>
  <c r="AP8"/>
  <c r="AB6"/>
  <c r="AC6"/>
  <c r="AD6"/>
  <c r="AE6"/>
  <c r="AF6"/>
  <c r="AB7"/>
  <c r="AC7"/>
  <c r="AD7"/>
  <c r="AE7"/>
  <c r="AF7"/>
  <c r="AB8"/>
  <c r="AC8"/>
  <c r="AD8"/>
  <c r="AE8"/>
  <c r="AF8"/>
  <c r="M6"/>
  <c r="M7"/>
  <c r="M8"/>
  <c r="M5"/>
  <c r="AM5"/>
  <c r="AN5"/>
  <c r="AO5"/>
  <c r="AP5"/>
  <c r="AL5"/>
  <c r="AC5"/>
  <c r="AD5"/>
  <c r="AE5"/>
  <c r="AF5"/>
  <c r="F7"/>
  <c r="AG7" s="1"/>
  <c r="F97"/>
  <c r="AG97" s="1"/>
  <c r="F148"/>
  <c r="AG148" s="1"/>
  <c r="F152"/>
  <c r="AG152" s="1"/>
  <c r="AE155"/>
  <c r="F5"/>
  <c r="AG5" s="1"/>
  <c r="F6"/>
  <c r="AG6" s="1"/>
  <c r="F8"/>
  <c r="AG8" s="1"/>
  <c r="F149"/>
  <c r="AG149" s="1"/>
  <c r="AG150"/>
  <c r="F151"/>
  <c r="AG151" s="1"/>
  <c r="F153"/>
  <c r="AG153" s="1"/>
  <c r="F154"/>
  <c r="AG154" s="1"/>
  <c r="O154"/>
  <c r="O150"/>
  <c r="W168" l="1"/>
  <c r="W173" s="1"/>
  <c r="W161"/>
  <c r="W166" s="1"/>
  <c r="W174" s="1"/>
  <c r="AH145"/>
  <c r="AL145"/>
  <c r="AN145"/>
  <c r="AP145"/>
  <c r="AL68"/>
  <c r="AN68"/>
  <c r="AP68"/>
  <c r="M146"/>
  <c r="AM145"/>
  <c r="AO145"/>
  <c r="AM68"/>
  <c r="AO68"/>
  <c r="AE68"/>
  <c r="AD68"/>
  <c r="AR68"/>
  <c r="O153"/>
  <c r="AP19"/>
  <c r="AN19"/>
  <c r="AB145"/>
  <c r="AD145"/>
  <c r="AF145"/>
  <c r="AC68"/>
  <c r="O26"/>
  <c r="V161" s="1"/>
  <c r="AN182"/>
  <c r="AO181"/>
  <c r="AP180"/>
  <c r="AQ179"/>
  <c r="AM179"/>
  <c r="AN178"/>
  <c r="O22" i="16" s="1"/>
  <c r="AO193" i="13"/>
  <c r="AN195"/>
  <c r="AM196"/>
  <c r="AQ196"/>
  <c r="AP197"/>
  <c r="AL195"/>
  <c r="AL180"/>
  <c r="AP182"/>
  <c r="AQ181"/>
  <c r="AM181"/>
  <c r="AN180"/>
  <c r="AO179"/>
  <c r="AP178"/>
  <c r="Q22" i="16" s="1"/>
  <c r="AM193" i="13"/>
  <c r="AQ193"/>
  <c r="AP195"/>
  <c r="AO196"/>
  <c r="AN197"/>
  <c r="AL197"/>
  <c r="AL182"/>
  <c r="AL179"/>
  <c r="AL181"/>
  <c r="AL196"/>
  <c r="AO197"/>
  <c r="AP196"/>
  <c r="AQ195"/>
  <c r="AM195"/>
  <c r="AN193"/>
  <c r="AO178"/>
  <c r="AO185" s="1"/>
  <c r="P29" i="16" s="1"/>
  <c r="AN179" i="13"/>
  <c r="AM180"/>
  <c r="AQ180"/>
  <c r="AP181"/>
  <c r="AO182"/>
  <c r="AD193"/>
  <c r="AF193"/>
  <c r="AC195"/>
  <c r="AE195"/>
  <c r="AG195"/>
  <c r="AD196"/>
  <c r="AF196"/>
  <c r="AC197"/>
  <c r="AE197"/>
  <c r="AG197"/>
  <c r="AB196"/>
  <c r="AB193"/>
  <c r="AD178"/>
  <c r="AF178"/>
  <c r="AC179"/>
  <c r="AE179"/>
  <c r="AG179"/>
  <c r="AD180"/>
  <c r="AF180"/>
  <c r="AC181"/>
  <c r="AE181"/>
  <c r="AG181"/>
  <c r="AD182"/>
  <c r="AF182"/>
  <c r="AB182"/>
  <c r="AB180"/>
  <c r="AB178"/>
  <c r="AQ182"/>
  <c r="AL178"/>
  <c r="M22" i="16" s="1"/>
  <c r="AL193" i="13"/>
  <c r="AQ197"/>
  <c r="AM197"/>
  <c r="AN196"/>
  <c r="AO195"/>
  <c r="AP193"/>
  <c r="AM178"/>
  <c r="N22" i="16" s="1"/>
  <c r="AQ178" i="13"/>
  <c r="AP179"/>
  <c r="AO180"/>
  <c r="AN181"/>
  <c r="AM182"/>
  <c r="AC193"/>
  <c r="AE193"/>
  <c r="AG193"/>
  <c r="AD195"/>
  <c r="AF195"/>
  <c r="AC196"/>
  <c r="AE196"/>
  <c r="AG196"/>
  <c r="AD197"/>
  <c r="AF197"/>
  <c r="AB197"/>
  <c r="AB195"/>
  <c r="AC178"/>
  <c r="AE178"/>
  <c r="AG178"/>
  <c r="AD179"/>
  <c r="AF179"/>
  <c r="AC180"/>
  <c r="AE180"/>
  <c r="AG180"/>
  <c r="AD181"/>
  <c r="AF181"/>
  <c r="AC182"/>
  <c r="AE182"/>
  <c r="AG182"/>
  <c r="AB181"/>
  <c r="AB179"/>
  <c r="O8"/>
  <c r="O6"/>
  <c r="AC125"/>
  <c r="AE125"/>
  <c r="AB68"/>
  <c r="AC194"/>
  <c r="AE194"/>
  <c r="AO194"/>
  <c r="AD194"/>
  <c r="AL194"/>
  <c r="AP194"/>
  <c r="O7"/>
  <c r="O149"/>
  <c r="O151"/>
  <c r="O148"/>
  <c r="AP125"/>
  <c r="AB125"/>
  <c r="AD125"/>
  <c r="AF125"/>
  <c r="AM194"/>
  <c r="AF194"/>
  <c r="AN194"/>
  <c r="AB194"/>
  <c r="AL19"/>
  <c r="AB19"/>
  <c r="AO19"/>
  <c r="AM19"/>
  <c r="M19"/>
  <c r="M79"/>
  <c r="M82"/>
  <c r="M87"/>
  <c r="M68"/>
  <c r="O97"/>
  <c r="M155"/>
  <c r="AQ99"/>
  <c r="AQ90"/>
  <c r="AQ85"/>
  <c r="AQ5"/>
  <c r="AQ8"/>
  <c r="AQ7"/>
  <c r="AQ6"/>
  <c r="AH19"/>
  <c r="O12"/>
  <c r="AQ9"/>
  <c r="AQ11"/>
  <c r="AQ12"/>
  <c r="AQ13"/>
  <c r="AQ124"/>
  <c r="O99"/>
  <c r="R9" i="16"/>
  <c r="Q9"/>
  <c r="P9"/>
  <c r="O9"/>
  <c r="N9"/>
  <c r="M9"/>
  <c r="L9"/>
  <c r="H9"/>
  <c r="G9"/>
  <c r="F9"/>
  <c r="E9"/>
  <c r="D9"/>
  <c r="C9"/>
  <c r="L8"/>
  <c r="L7"/>
  <c r="AF19" i="13"/>
  <c r="AE19"/>
  <c r="AD19"/>
  <c r="AC19"/>
  <c r="AF164"/>
  <c r="AG123"/>
  <c r="AH125" s="1"/>
  <c r="AG65"/>
  <c r="AH68" s="1"/>
  <c r="AG66"/>
  <c r="AD164"/>
  <c r="E8" i="16" s="1"/>
  <c r="AB163" i="13"/>
  <c r="AB164"/>
  <c r="C8" i="16" s="1"/>
  <c r="AE164" i="13"/>
  <c r="O137"/>
  <c r="O90"/>
  <c r="M145"/>
  <c r="O65"/>
  <c r="O66"/>
  <c r="O15"/>
  <c r="O16"/>
  <c r="O135"/>
  <c r="AQ135"/>
  <c r="O136"/>
  <c r="AQ136"/>
  <c r="O138"/>
  <c r="AQ138"/>
  <c r="O139"/>
  <c r="O88"/>
  <c r="O89"/>
  <c r="O84"/>
  <c r="AQ84"/>
  <c r="AQ80"/>
  <c r="AR125" s="1"/>
  <c r="AQ81"/>
  <c r="O83"/>
  <c r="O85"/>
  <c r="V170" s="1"/>
  <c r="O80"/>
  <c r="O81"/>
  <c r="O75"/>
  <c r="O78"/>
  <c r="O73"/>
  <c r="V163" s="1"/>
  <c r="O124"/>
  <c r="AQ166"/>
  <c r="R10" i="16" s="1"/>
  <c r="O123" i="13"/>
  <c r="AL123"/>
  <c r="AL125" s="1"/>
  <c r="AM123"/>
  <c r="AM125" s="1"/>
  <c r="AN123"/>
  <c r="AN125" s="1"/>
  <c r="AO123"/>
  <c r="AO125" s="1"/>
  <c r="O101"/>
  <c r="AQ101"/>
  <c r="O18"/>
  <c r="AF163"/>
  <c r="AE163"/>
  <c r="AD163"/>
  <c r="AC163"/>
  <c r="O9"/>
  <c r="O11"/>
  <c r="O13"/>
  <c r="Z156"/>
  <c r="O5"/>
  <c r="V162" s="1"/>
  <c r="AM163"/>
  <c r="AN163"/>
  <c r="AO163"/>
  <c r="AP163"/>
  <c r="AL163"/>
  <c r="AH172"/>
  <c r="I16" i="16" s="1"/>
  <c r="AR172" i="13"/>
  <c r="S16" i="16" s="1"/>
  <c r="AL155" i="13"/>
  <c r="AM155"/>
  <c r="AO155"/>
  <c r="AP155"/>
  <c r="AR155"/>
  <c r="AH155"/>
  <c r="AC155"/>
  <c r="V165" l="1"/>
  <c r="V171"/>
  <c r="V173" s="1"/>
  <c r="V164"/>
  <c r="V166" s="1"/>
  <c r="V174" s="1"/>
  <c r="P22" i="16"/>
  <c r="AK68" i="13"/>
  <c r="AQ164"/>
  <c r="R8" i="16" s="1"/>
  <c r="AQ194" i="13"/>
  <c r="AI19"/>
  <c r="H26" i="16"/>
  <c r="AI68" i="13"/>
  <c r="AR145"/>
  <c r="AG194"/>
  <c r="AM185"/>
  <c r="N29" i="16" s="1"/>
  <c r="AN185" i="13"/>
  <c r="O29" i="16" s="1"/>
  <c r="AL185" i="13"/>
  <c r="M29" i="16" s="1"/>
  <c r="AP185" i="13"/>
  <c r="Q29" i="16" s="1"/>
  <c r="AQ163" i="13"/>
  <c r="AQ170" s="1"/>
  <c r="R14" i="16" s="1"/>
  <c r="AR19" i="13"/>
  <c r="O79"/>
  <c r="AB156"/>
  <c r="O82"/>
  <c r="AG163"/>
  <c r="AG170" s="1"/>
  <c r="H14" i="16" s="1"/>
  <c r="M125" i="13"/>
  <c r="AF156"/>
  <c r="R23" i="16"/>
  <c r="AE201" i="13"/>
  <c r="F45" i="16" s="1"/>
  <c r="AD201" i="13"/>
  <c r="E45" i="16" s="1"/>
  <c r="AC201" i="13"/>
  <c r="D45" i="16" s="1"/>
  <c r="AB201" i="13"/>
  <c r="AL170"/>
  <c r="M7" i="16"/>
  <c r="AP170" i="13"/>
  <c r="Q14" i="16" s="1"/>
  <c r="Q7"/>
  <c r="AO170" i="13"/>
  <c r="P14" i="16" s="1"/>
  <c r="P7"/>
  <c r="AN170" i="13"/>
  <c r="O14" i="16" s="1"/>
  <c r="O7"/>
  <c r="AM170" i="13"/>
  <c r="N14" i="16" s="1"/>
  <c r="N7"/>
  <c r="AC170" i="13"/>
  <c r="D14" i="16" s="1"/>
  <c r="D7"/>
  <c r="AD170" i="13"/>
  <c r="E14" i="16" s="1"/>
  <c r="E7"/>
  <c r="AE170" i="13"/>
  <c r="F14" i="16" s="1"/>
  <c r="F7"/>
  <c r="AF170" i="13"/>
  <c r="G14" i="16" s="1"/>
  <c r="G7"/>
  <c r="AQ171" i="13"/>
  <c r="R15" i="16" s="1"/>
  <c r="AE171" i="13"/>
  <c r="F15" i="16" s="1"/>
  <c r="F8"/>
  <c r="AB170" i="13"/>
  <c r="C7" i="16"/>
  <c r="AF171" i="13"/>
  <c r="G15" i="16" s="1"/>
  <c r="G8"/>
  <c r="AE156" i="13"/>
  <c r="Q41" i="16"/>
  <c r="P41"/>
  <c r="O41"/>
  <c r="N41"/>
  <c r="M41"/>
  <c r="R40"/>
  <c r="Q40"/>
  <c r="P40"/>
  <c r="O40"/>
  <c r="N40"/>
  <c r="M40"/>
  <c r="H41"/>
  <c r="G41"/>
  <c r="F41"/>
  <c r="E41"/>
  <c r="D41"/>
  <c r="C41"/>
  <c r="H40"/>
  <c r="G40"/>
  <c r="F40"/>
  <c r="E40"/>
  <c r="D40"/>
  <c r="C40"/>
  <c r="R26"/>
  <c r="Q26"/>
  <c r="P26"/>
  <c r="O26"/>
  <c r="N26"/>
  <c r="M26"/>
  <c r="R25"/>
  <c r="Q25"/>
  <c r="P25"/>
  <c r="O25"/>
  <c r="N25"/>
  <c r="M25"/>
  <c r="N24"/>
  <c r="M24"/>
  <c r="R41"/>
  <c r="AB186" i="13"/>
  <c r="C23" i="16"/>
  <c r="AC186" i="13"/>
  <c r="D30" i="16" s="1"/>
  <c r="D23"/>
  <c r="AD186" i="13"/>
  <c r="E30" i="16" s="1"/>
  <c r="E23"/>
  <c r="AE186" i="13"/>
  <c r="F30" i="16" s="1"/>
  <c r="F23"/>
  <c r="AF186" i="13"/>
  <c r="G30" i="16" s="1"/>
  <c r="G23"/>
  <c r="AG186" i="13"/>
  <c r="H30" i="16" s="1"/>
  <c r="H23"/>
  <c r="AC185" i="13"/>
  <c r="D29" i="16" s="1"/>
  <c r="D22"/>
  <c r="AD185" i="13"/>
  <c r="E29" i="16" s="1"/>
  <c r="E22"/>
  <c r="AE185" i="13"/>
  <c r="F29" i="16" s="1"/>
  <c r="F22"/>
  <c r="AF185" i="13"/>
  <c r="G29" i="16" s="1"/>
  <c r="G22"/>
  <c r="AG185" i="13"/>
  <c r="H29" i="16" s="1"/>
  <c r="H22"/>
  <c r="AB185" i="13"/>
  <c r="C29" i="16" s="1"/>
  <c r="C22"/>
  <c r="AM187" i="13"/>
  <c r="N31" i="16" s="1"/>
  <c r="AL187" i="13"/>
  <c r="C25" i="16"/>
  <c r="D25"/>
  <c r="E25"/>
  <c r="F25"/>
  <c r="G25"/>
  <c r="H25"/>
  <c r="C26"/>
  <c r="D26"/>
  <c r="E26"/>
  <c r="F26"/>
  <c r="G26"/>
  <c r="AC156" i="13"/>
  <c r="AK19"/>
  <c r="AI155"/>
  <c r="AR156"/>
  <c r="O87"/>
  <c r="AO164"/>
  <c r="AP164"/>
  <c r="AN164"/>
  <c r="AM164"/>
  <c r="AL164"/>
  <c r="AD171"/>
  <c r="E15" i="16" s="1"/>
  <c r="AC164" i="13"/>
  <c r="AB171"/>
  <c r="C15" i="16" s="1"/>
  <c r="AN155" i="13"/>
  <c r="R7" i="16" l="1"/>
  <c r="H7"/>
  <c r="AQ186" i="13"/>
  <c r="R30" i="16" s="1"/>
  <c r="F38"/>
  <c r="D38"/>
  <c r="AH185" i="13"/>
  <c r="I29" i="16" s="1"/>
  <c r="E38"/>
  <c r="C38"/>
  <c r="AP156" i="13"/>
  <c r="AI145"/>
  <c r="AL156"/>
  <c r="AM156"/>
  <c r="AO156"/>
  <c r="AN156"/>
  <c r="AD156"/>
  <c r="M23" i="16"/>
  <c r="AL186" i="13"/>
  <c r="N23" i="16"/>
  <c r="AM186" i="13"/>
  <c r="N30" i="16" s="1"/>
  <c r="O23"/>
  <c r="AN186" i="13"/>
  <c r="O30" i="16" s="1"/>
  <c r="AC171" i="13"/>
  <c r="D15" i="16" s="1"/>
  <c r="D8"/>
  <c r="AL171" i="13"/>
  <c r="M15" i="16" s="1"/>
  <c r="M8"/>
  <c r="AM171" i="13"/>
  <c r="N15" i="16" s="1"/>
  <c r="N8"/>
  <c r="AN171" i="13"/>
  <c r="O15" i="16" s="1"/>
  <c r="O8"/>
  <c r="AP171" i="13"/>
  <c r="Q15" i="16" s="1"/>
  <c r="Q8"/>
  <c r="AO171" i="13"/>
  <c r="P15" i="16" s="1"/>
  <c r="P8"/>
  <c r="R22"/>
  <c r="AQ185" i="13"/>
  <c r="O24" i="16"/>
  <c r="AN187" i="13"/>
  <c r="O31" i="16" s="1"/>
  <c r="P24"/>
  <c r="AO187" i="13"/>
  <c r="P31" i="16" s="1"/>
  <c r="Q24"/>
  <c r="AP187" i="13"/>
  <c r="Q31" i="16" s="1"/>
  <c r="R24"/>
  <c r="AQ187" i="13"/>
  <c r="R31" i="16" s="1"/>
  <c r="AC200" i="13"/>
  <c r="D44" i="16" s="1"/>
  <c r="D37"/>
  <c r="AD200" i="13"/>
  <c r="E44" i="16" s="1"/>
  <c r="E37"/>
  <c r="AE200" i="13"/>
  <c r="F44" i="16" s="1"/>
  <c r="F37"/>
  <c r="AF200" i="13"/>
  <c r="G44" i="16" s="1"/>
  <c r="G37"/>
  <c r="AG200" i="13"/>
  <c r="H44" i="16" s="1"/>
  <c r="H37"/>
  <c r="AF201" i="13"/>
  <c r="G45" i="16" s="1"/>
  <c r="G38"/>
  <c r="AG201" i="13"/>
  <c r="H45" i="16" s="1"/>
  <c r="H38"/>
  <c r="AB202" i="13"/>
  <c r="C39" i="16"/>
  <c r="AC202" i="13"/>
  <c r="D46" i="16" s="1"/>
  <c r="D39"/>
  <c r="AD202" i="13"/>
  <c r="E46" i="16" s="1"/>
  <c r="E39"/>
  <c r="AE202" i="13"/>
  <c r="F46" i="16" s="1"/>
  <c r="F39"/>
  <c r="AF202" i="13"/>
  <c r="G46" i="16" s="1"/>
  <c r="G39"/>
  <c r="AG202" i="13"/>
  <c r="H46" i="16" s="1"/>
  <c r="H39"/>
  <c r="C37"/>
  <c r="AB200" i="13"/>
  <c r="AL200"/>
  <c r="M37" i="16"/>
  <c r="AM200" i="13"/>
  <c r="N44" i="16" s="1"/>
  <c r="N37"/>
  <c r="AN200" i="13"/>
  <c r="O44" i="16" s="1"/>
  <c r="O37"/>
  <c r="AO200" i="13"/>
  <c r="P44" i="16" s="1"/>
  <c r="P37"/>
  <c r="AP200" i="13"/>
  <c r="Q44" i="16" s="1"/>
  <c r="Q37"/>
  <c r="AQ200" i="13"/>
  <c r="R44" i="16" s="1"/>
  <c r="R37"/>
  <c r="AL201" i="13"/>
  <c r="M38" i="16"/>
  <c r="AM201" i="13"/>
  <c r="N45" i="16" s="1"/>
  <c r="N38"/>
  <c r="AN201" i="13"/>
  <c r="O45" i="16" s="1"/>
  <c r="O38"/>
  <c r="AO201" i="13"/>
  <c r="P45" i="16" s="1"/>
  <c r="P38"/>
  <c r="AP201" i="13"/>
  <c r="Q45" i="16" s="1"/>
  <c r="Q38"/>
  <c r="AQ201" i="13"/>
  <c r="R45" i="16" s="1"/>
  <c r="R38"/>
  <c r="AL202" i="13"/>
  <c r="M39" i="16"/>
  <c r="AM202" i="13"/>
  <c r="N46" i="16" s="1"/>
  <c r="N39"/>
  <c r="AN202" i="13"/>
  <c r="O46" i="16" s="1"/>
  <c r="O39"/>
  <c r="AO202" i="13"/>
  <c r="P46" i="16" s="1"/>
  <c r="P39"/>
  <c r="AP202" i="13"/>
  <c r="Q46" i="16" s="1"/>
  <c r="Q39"/>
  <c r="AQ202" i="13"/>
  <c r="R46" i="16" s="1"/>
  <c r="R39"/>
  <c r="C14"/>
  <c r="AH170" i="13"/>
  <c r="I14" i="16" s="1"/>
  <c r="M14"/>
  <c r="AR170" i="13"/>
  <c r="S14" i="16" s="1"/>
  <c r="AH201" i="13"/>
  <c r="I45" i="16" s="1"/>
  <c r="C45"/>
  <c r="AG187" i="13"/>
  <c r="H31" i="16" s="1"/>
  <c r="H24"/>
  <c r="AF187" i="13"/>
  <c r="G31" i="16" s="1"/>
  <c r="G24"/>
  <c r="AE187" i="13"/>
  <c r="F31" i="16" s="1"/>
  <c r="F24"/>
  <c r="AD187" i="13"/>
  <c r="E31" i="16" s="1"/>
  <c r="E24"/>
  <c r="AC187" i="13"/>
  <c r="D31" i="16" s="1"/>
  <c r="D24"/>
  <c r="AB187" i="13"/>
  <c r="C31" i="16" s="1"/>
  <c r="C24"/>
  <c r="M31"/>
  <c r="C30"/>
  <c r="AH186" i="13"/>
  <c r="I30" i="16" s="1"/>
  <c r="AK155" i="13"/>
  <c r="AI125"/>
  <c r="AK125"/>
  <c r="AG164"/>
  <c r="AH156"/>
  <c r="AR171" l="1"/>
  <c r="AR173" s="1"/>
  <c r="AR187"/>
  <c r="S31" i="16" s="1"/>
  <c r="AH187" i="13"/>
  <c r="AH188" s="1"/>
  <c r="AH159"/>
  <c r="AK145"/>
  <c r="AG171"/>
  <c r="H8" i="16"/>
  <c r="Q23"/>
  <c r="AP186" i="13"/>
  <c r="Q30" i="16" s="1"/>
  <c r="P23"/>
  <c r="AO186" i="13"/>
  <c r="P30" i="16" s="1"/>
  <c r="AR202" i="13"/>
  <c r="S46" i="16" s="1"/>
  <c r="M46"/>
  <c r="AR201" i="13"/>
  <c r="S45" i="16" s="1"/>
  <c r="M45"/>
  <c r="AR200" i="13"/>
  <c r="M44" i="16"/>
  <c r="AH200" i="13"/>
  <c r="C44" i="16"/>
  <c r="AH202" i="13"/>
  <c r="I46" i="16" s="1"/>
  <c r="C46"/>
  <c r="R29"/>
  <c r="AR185" i="13"/>
  <c r="M30" i="16"/>
  <c r="AR186" i="13" l="1"/>
  <c r="S30" i="16" s="1"/>
  <c r="I31"/>
  <c r="S15"/>
  <c r="S29"/>
  <c r="AH203" i="13"/>
  <c r="I47" i="16" s="1"/>
  <c r="I44"/>
  <c r="AR203" i="13"/>
  <c r="S44" i="16"/>
  <c r="H15"/>
  <c r="AH171" i="13"/>
  <c r="S17" i="16"/>
  <c r="I32"/>
  <c r="AR188" i="13" l="1"/>
  <c r="AR205" s="1"/>
  <c r="AH205"/>
  <c r="I15" i="16"/>
  <c r="AH173" i="13"/>
  <c r="AI159" s="1"/>
  <c r="S47" i="16"/>
  <c r="AR204" i="13"/>
  <c r="S48" i="16" s="1"/>
  <c r="S32"/>
  <c r="AR189" i="13" l="1"/>
  <c r="S33" i="16" s="1"/>
  <c r="I17"/>
  <c r="AR174" i="13"/>
  <c r="S18" i="16" s="1"/>
</calcChain>
</file>

<file path=xl/sharedStrings.xml><?xml version="1.0" encoding="utf-8"?>
<sst xmlns="http://schemas.openxmlformats.org/spreadsheetml/2006/main" count="1396" uniqueCount="325">
  <si>
    <t>Item</t>
  </si>
  <si>
    <t>Material Amt</t>
  </si>
  <si>
    <t>Units</t>
  </si>
  <si>
    <t>Material Cost</t>
  </si>
  <si>
    <t>Material Cost/Unit</t>
  </si>
  <si>
    <t xml:space="preserve"> </t>
  </si>
  <si>
    <t>Material</t>
  </si>
  <si>
    <t>Aluminum</t>
  </si>
  <si>
    <t>hours</t>
  </si>
  <si>
    <t>N/A</t>
  </si>
  <si>
    <t>MT Time</t>
  </si>
  <si>
    <t>Shop Time</t>
  </si>
  <si>
    <t>Materials Totals</t>
  </si>
  <si>
    <t>ea.</t>
  </si>
  <si>
    <t>Shop Labor</t>
  </si>
  <si>
    <t>Tech Labor</t>
  </si>
  <si>
    <t>M&amp;S Cost</t>
  </si>
  <si>
    <t xml:space="preserve">     -Handles</t>
  </si>
  <si>
    <t xml:space="preserve">     -Box Sides</t>
  </si>
  <si>
    <t xml:space="preserve">     -Fork Truck Skids</t>
  </si>
  <si>
    <t xml:space="preserve">     -Packing</t>
  </si>
  <si>
    <t xml:space="preserve">     -Shipping Cost</t>
  </si>
  <si>
    <t>Galvanized</t>
  </si>
  <si>
    <t>1" Clear Plywood</t>
  </si>
  <si>
    <t>sheets</t>
  </si>
  <si>
    <t>Fir 4X4</t>
  </si>
  <si>
    <t>bd/ft</t>
  </si>
  <si>
    <t>Foam</t>
  </si>
  <si>
    <t>m^3</t>
  </si>
  <si>
    <t>Eng Time</t>
  </si>
  <si>
    <t>Des Time</t>
  </si>
  <si>
    <t>Engineering</t>
  </si>
  <si>
    <t>Design</t>
  </si>
  <si>
    <t>Unit</t>
  </si>
  <si>
    <t>Labor</t>
  </si>
  <si>
    <t>Estimate</t>
  </si>
  <si>
    <t>Est Remaining</t>
  </si>
  <si>
    <t>Overage</t>
  </si>
  <si>
    <t>CMM</t>
  </si>
  <si>
    <t>Each</t>
  </si>
  <si>
    <t>lb</t>
  </si>
  <si>
    <t># (line-item-zeroing)</t>
  </si>
  <si>
    <t>Base or Contingency</t>
  </si>
  <si>
    <t>Shop</t>
  </si>
  <si>
    <t>M_Tech</t>
  </si>
  <si>
    <t>Engineer</t>
  </si>
  <si>
    <t>Designer</t>
  </si>
  <si>
    <t>YEAR</t>
  </si>
  <si>
    <t>B</t>
  </si>
  <si>
    <t>C</t>
  </si>
  <si>
    <t>BASE</t>
  </si>
  <si>
    <t>CONTINGENCY</t>
  </si>
  <si>
    <t>Year</t>
  </si>
  <si>
    <t>Shop Cost</t>
  </si>
  <si>
    <t>MT Cost</t>
  </si>
  <si>
    <t>Totals</t>
  </si>
  <si>
    <t>Hytec</t>
  </si>
  <si>
    <t>LANL</t>
  </si>
  <si>
    <t>LBNL Cost</t>
  </si>
  <si>
    <t>Material Batches</t>
  </si>
  <si>
    <t>Acceptance</t>
  </si>
  <si>
    <t>Bleed Studies</t>
  </si>
  <si>
    <t>Test</t>
  </si>
  <si>
    <t>M55J</t>
  </si>
  <si>
    <t>Order</t>
  </si>
  <si>
    <t>Bagging</t>
  </si>
  <si>
    <t>m^2</t>
  </si>
  <si>
    <t>Material Batches Subtotal</t>
  </si>
  <si>
    <t>Expendables</t>
  </si>
  <si>
    <t>Plate Lamination</t>
  </si>
  <si>
    <t>Material Test</t>
  </si>
  <si>
    <t>Batch</t>
  </si>
  <si>
    <t>Cutter</t>
  </si>
  <si>
    <t>Labor Cost Total (includes contingency)</t>
  </si>
  <si>
    <t>Shipping</t>
  </si>
  <si>
    <t>Materials Sub Totals</t>
  </si>
  <si>
    <t>Tooling</t>
  </si>
  <si>
    <t>Base Labor</t>
  </si>
  <si>
    <t>Sum</t>
  </si>
  <si>
    <t xml:space="preserve">     -Packing Foam (waterjet parts)</t>
  </si>
  <si>
    <t xml:space="preserve">     -Box Fab--Carpenters not MT, but cost scaled</t>
  </si>
  <si>
    <t>Shipping Subtotal</t>
  </si>
  <si>
    <t>Hysol 9320</t>
  </si>
  <si>
    <t>Base</t>
  </si>
  <si>
    <t>Contingency</t>
  </si>
  <si>
    <t>External Work Excluded…</t>
  </si>
  <si>
    <t>Cost With Contingency</t>
  </si>
  <si>
    <t>Base Cost</t>
  </si>
  <si>
    <t>Underage(-)</t>
  </si>
  <si>
    <t>Spent To Date</t>
  </si>
  <si>
    <t>Protot or Production</t>
  </si>
  <si>
    <t>PD</t>
  </si>
  <si>
    <t>Sum Logic Code</t>
  </si>
  <si>
    <t>TRACKING</t>
  </si>
  <si>
    <t>BPD</t>
  </si>
  <si>
    <t>BPT</t>
  </si>
  <si>
    <t>CPT</t>
  </si>
  <si>
    <t>CPD</t>
  </si>
  <si>
    <t>checksum</t>
  </si>
  <si>
    <t>Production Base Cost</t>
  </si>
  <si>
    <t>Production Contingency Cost</t>
  </si>
  <si>
    <t>Percent</t>
  </si>
  <si>
    <t>LBNL Contingency</t>
  </si>
  <si>
    <t>Hysol Adhesive Pre-Production</t>
  </si>
  <si>
    <t>Pre-Production Base Cost</t>
  </si>
  <si>
    <t>Pre-Production Contingency Cost</t>
  </si>
  <si>
    <t>Parylene Coating (100% Production)</t>
  </si>
  <si>
    <t>Shipping (100% Production)</t>
  </si>
  <si>
    <t>Thicker M55J</t>
  </si>
  <si>
    <t>Cloth CN60</t>
  </si>
  <si>
    <t>CN60</t>
  </si>
  <si>
    <t>Materials and Labor</t>
  </si>
  <si>
    <t>Waterjet</t>
  </si>
  <si>
    <t>Plate (for all parts + spares)</t>
  </si>
  <si>
    <t>Trim to Size (cuts all face sheets, both styles)</t>
  </si>
  <si>
    <t>Core</t>
  </si>
  <si>
    <t>Carbon Foam Core</t>
  </si>
  <si>
    <t>Allcomp Densified</t>
  </si>
  <si>
    <t>bdft</t>
  </si>
  <si>
    <t>Rough thickness core</t>
  </si>
  <si>
    <t>Trim to shape (all styles)</t>
  </si>
  <si>
    <t>Inserts</t>
  </si>
  <si>
    <t>Stave Mounts</t>
  </si>
  <si>
    <t>CF PEEK</t>
  </si>
  <si>
    <t>Barrel Shell Components</t>
  </si>
  <si>
    <t>Pixel Support Sub Total</t>
  </si>
  <si>
    <t>Interface Parts</t>
  </si>
  <si>
    <t>Base Plate</t>
  </si>
  <si>
    <t>Stave Mount Tooling (Layer 2)</t>
  </si>
  <si>
    <t>Insert Location Plate (Layer 2)</t>
  </si>
  <si>
    <t>Caul Plate (Layer 2)</t>
  </si>
  <si>
    <t>Base Plate (Layer 2)</t>
  </si>
  <si>
    <t>Assembly</t>
  </si>
  <si>
    <t>Inserts (contingency)</t>
  </si>
  <si>
    <t>Stave Mounts (Contingency)</t>
  </si>
  <si>
    <t>Barrel Shell Assembly</t>
  </si>
  <si>
    <t>Half Shell</t>
  </si>
  <si>
    <t>Welded Tube Assembly</t>
  </si>
  <si>
    <t>Steel</t>
  </si>
  <si>
    <t>Nickel Plate</t>
  </si>
  <si>
    <t>Contract</t>
  </si>
  <si>
    <t>Trim Fixture</t>
  </si>
  <si>
    <t>Lamination Tool</t>
  </si>
  <si>
    <t>Machining Tool</t>
  </si>
  <si>
    <t>Support Beam Tooling</t>
  </si>
  <si>
    <t>Bottom Skin Tool</t>
  </si>
  <si>
    <t>Top Skin Tool</t>
  </si>
  <si>
    <t>Core Bond Tool</t>
  </si>
  <si>
    <t>Lamination Tool Iteration</t>
  </si>
  <si>
    <t>Part Tooling</t>
  </si>
  <si>
    <t>Half Shell Production</t>
  </si>
  <si>
    <t>Part Trim (Contingency)</t>
  </si>
  <si>
    <t>Lamination Tool Iteration (Contingency)</t>
  </si>
  <si>
    <t>Re-Machine (contingency)</t>
  </si>
  <si>
    <t>Nickel Plate (contingency)</t>
  </si>
  <si>
    <t>Tool Material CTE Study</t>
  </si>
  <si>
    <t>Ply Trim and Kit</t>
  </si>
  <si>
    <t>Part Lamination</t>
  </si>
  <si>
    <t>Part Lamination (contingency)</t>
  </si>
  <si>
    <t>Prototype Ring (contingency if re-tooled)</t>
  </si>
  <si>
    <t>Support Beam Production</t>
  </si>
  <si>
    <t>Part Subtotal</t>
  </si>
  <si>
    <t>Base Laminate</t>
  </si>
  <si>
    <t>Base Laminate (contingency)</t>
  </si>
  <si>
    <t>Top Laminate</t>
  </si>
  <si>
    <t>Top Laminate (contingency)</t>
  </si>
  <si>
    <t>Core Bond</t>
  </si>
  <si>
    <t>Core Bond (contingency)</t>
  </si>
  <si>
    <t>Top Skin Bonding</t>
  </si>
  <si>
    <t>Top Skin Bonding (contingency)</t>
  </si>
  <si>
    <t>Machined Assembly</t>
  </si>
  <si>
    <t>Machined Assembly (contingency)</t>
  </si>
  <si>
    <t>Assembly Tooling</t>
  </si>
  <si>
    <t>Arch Supports</t>
  </si>
  <si>
    <t>Process/Shipping Container</t>
  </si>
  <si>
    <t>Tool Assembly</t>
  </si>
  <si>
    <t>Production Assembly</t>
  </si>
  <si>
    <t>End Flange to Transition Ring Bond</t>
  </si>
  <si>
    <t>Support Beam bond</t>
  </si>
  <si>
    <t>Shell Bond</t>
  </si>
  <si>
    <t>CMM Survey of Bonded Assembly</t>
  </si>
  <si>
    <t>CMM Survey of Bonded Assembly with Pixel Mounts</t>
  </si>
  <si>
    <t>Barrel Support Estimate</t>
  </si>
  <si>
    <t>Base Plate (Layer 1)</t>
  </si>
  <si>
    <t>Caul Plate (Layer 1)</t>
  </si>
  <si>
    <t>Insert Location Plate (Layer 1)</t>
  </si>
  <si>
    <t>Stave Mount Tooling (Layer 1)</t>
  </si>
  <si>
    <t>Base Plate (Layer 3)</t>
  </si>
  <si>
    <t>Caul Plate (Layer 3)</t>
  </si>
  <si>
    <t>Insert Location Plate (Layer 3)</t>
  </si>
  <si>
    <t>Stave Mount Tooling (Layer 3)</t>
  </si>
  <si>
    <t>Base Plate (Layer 4)</t>
  </si>
  <si>
    <t>Caul Plate (Layer 4)</t>
  </si>
  <si>
    <t>Insert Location Plate (Layer 4)</t>
  </si>
  <si>
    <t>Gusset Plate Tooling</t>
  </si>
  <si>
    <t>Gusset Plate Production</t>
  </si>
  <si>
    <t>Part Machining</t>
  </si>
  <si>
    <t>Part Machining (Contingency)</t>
  </si>
  <si>
    <t>Layer 1 Structure</t>
  </si>
  <si>
    <t>Layer 1 Structure (contingency)</t>
  </si>
  <si>
    <t>Layer 1 Stave Mounts</t>
  </si>
  <si>
    <t>Layer 2 Stave Mounts</t>
  </si>
  <si>
    <t>Layer 3 Structure</t>
  </si>
  <si>
    <t>Layer 2 Structure</t>
  </si>
  <si>
    <t>Layer 4 Structure</t>
  </si>
  <si>
    <t>Layer 3 Stave Mounts</t>
  </si>
  <si>
    <t>Layer 1 Stave Mounts (contingency)</t>
  </si>
  <si>
    <t>Layer 2 Stave Mounts (contingency)</t>
  </si>
  <si>
    <t>Layer 2 Structure (contingency)</t>
  </si>
  <si>
    <t>Layer 4 Structure (contingency)</t>
  </si>
  <si>
    <t>Material Estimates per component</t>
  </si>
  <si>
    <t>Values used to estimate Size/Cost of Batch Orders--Does not report to Cost Summary</t>
  </si>
  <si>
    <t>Descriptor</t>
  </si>
  <si>
    <t>Quantity</t>
  </si>
  <si>
    <t>CPT (microns)</t>
  </si>
  <si>
    <t>Density (g/cc)</t>
  </si>
  <si>
    <t>Finished Form</t>
  </si>
  <si>
    <t>% Waste</t>
  </si>
  <si>
    <t>Length (cm)</t>
  </si>
  <si>
    <t>Diameter/Width (cm)</t>
  </si>
  <si>
    <t>Thickness (cm)</t>
  </si>
  <si>
    <t>Volume (cc)</t>
  </si>
  <si>
    <t>Mass (g)</t>
  </si>
  <si>
    <t>Pre-Preg Area  (m^2)</t>
  </si>
  <si>
    <t>Cost Per Unit</t>
  </si>
  <si>
    <t>Choose Unit</t>
  </si>
  <si>
    <t>Cost</t>
  </si>
  <si>
    <t>Prototype Mass</t>
  </si>
  <si>
    <t>Prototype Area</t>
  </si>
  <si>
    <t>/cc</t>
  </si>
  <si>
    <t>Bulk</t>
  </si>
  <si>
    <t>/g</t>
  </si>
  <si>
    <t>Plate</t>
  </si>
  <si>
    <t>/m^2</t>
  </si>
  <si>
    <t>Round</t>
  </si>
  <si>
    <t>Mandrel</t>
  </si>
  <si>
    <t>Pipe</t>
  </si>
  <si>
    <t>n/a</t>
  </si>
  <si>
    <t>Shell</t>
  </si>
  <si>
    <t>Mandrel End Plates</t>
  </si>
  <si>
    <t>CN60 Cloth</t>
  </si>
  <si>
    <t>Laminate</t>
  </si>
  <si>
    <t>Shell Laminate</t>
  </si>
  <si>
    <t>Test Shell Laminate</t>
  </si>
  <si>
    <t>EA9396</t>
  </si>
  <si>
    <t>Adhesive</t>
  </si>
  <si>
    <t>Components</t>
  </si>
  <si>
    <t>CF HoneyComb</t>
  </si>
  <si>
    <t>Machine Fixturing</t>
  </si>
  <si>
    <t>6061-T6</t>
  </si>
  <si>
    <t>Survey/QA jig</t>
  </si>
  <si>
    <t>Total</t>
  </si>
  <si>
    <t>Area (m^2)</t>
  </si>
  <si>
    <t>Production</t>
  </si>
  <si>
    <t>Quarts</t>
  </si>
  <si>
    <t>Prototype Composites</t>
  </si>
  <si>
    <t>Bond Tool Arches</t>
  </si>
  <si>
    <t>Support Beam Tool</t>
  </si>
  <si>
    <t>English</t>
  </si>
  <si>
    <t>Metric</t>
  </si>
  <si>
    <t>Quoted</t>
  </si>
  <si>
    <t>lb/in^3</t>
  </si>
  <si>
    <t>g/cc</t>
  </si>
  <si>
    <t>Cost/Unit</t>
  </si>
  <si>
    <t>$/lb</t>
  </si>
  <si>
    <t>$/g</t>
  </si>
  <si>
    <t>MIC-6</t>
  </si>
  <si>
    <t>7075-T6</t>
  </si>
  <si>
    <t>Titanium</t>
  </si>
  <si>
    <t>6Al4V</t>
  </si>
  <si>
    <t>304SS</t>
  </si>
  <si>
    <t>Carbon Fiber</t>
  </si>
  <si>
    <t>M55J-UDT</t>
  </si>
  <si>
    <t>CN60-PW</t>
  </si>
  <si>
    <t>YSH80A-UDT</t>
  </si>
  <si>
    <t>$/qt</t>
  </si>
  <si>
    <t>$/cc</t>
  </si>
  <si>
    <t>EA9394</t>
  </si>
  <si>
    <t>$/bdft</t>
  </si>
  <si>
    <t>Al HoneyComb</t>
  </si>
  <si>
    <t>Nomex HC</t>
  </si>
  <si>
    <t>Bond Tool Base</t>
  </si>
  <si>
    <t>Support Beams</t>
  </si>
  <si>
    <t>Support Beam Machining Tool</t>
  </si>
  <si>
    <t>Thick Laminate</t>
  </si>
  <si>
    <t>Thick Laminate Test</t>
  </si>
  <si>
    <t>End Flange</t>
  </si>
  <si>
    <t>Mass (kg)</t>
  </si>
  <si>
    <t>Test Lamiante</t>
  </si>
  <si>
    <t>VTX Support Spaceframe</t>
  </si>
  <si>
    <t>Material Acceptance</t>
  </si>
  <si>
    <t>12" Test Panels</t>
  </si>
  <si>
    <t>Test Atticles</t>
  </si>
  <si>
    <t>PEEK</t>
  </si>
  <si>
    <t>Blocks</t>
  </si>
  <si>
    <t>Layer Support Assemblies (and dummy)</t>
  </si>
  <si>
    <t>Stave Mounts (LBNL Engineering)</t>
  </si>
  <si>
    <t>Inserts (LBNL Engineering)</t>
  </si>
  <si>
    <r>
      <rPr>
        <sz val="10"/>
        <color rgb="FFFF0000"/>
        <rFont val="Arial"/>
        <family val="2"/>
      </rPr>
      <t>Transition Ring</t>
    </r>
    <r>
      <rPr>
        <sz val="10"/>
        <rFont val="Arial"/>
        <family val="2"/>
      </rPr>
      <t xml:space="preserve"> Temp Layer 4 Support Tool</t>
    </r>
  </si>
  <si>
    <t>Gusset Plate</t>
  </si>
  <si>
    <t>Half Plate Laminate</t>
  </si>
  <si>
    <t>Order Contingency</t>
  </si>
  <si>
    <r>
      <rPr>
        <b/>
        <sz val="10"/>
        <color rgb="FFFF0000"/>
        <rFont val="Arial"/>
        <family val="2"/>
      </rPr>
      <t>Transition Ring</t>
    </r>
    <r>
      <rPr>
        <b/>
        <sz val="10"/>
        <rFont val="Arial"/>
        <family val="2"/>
      </rPr>
      <t xml:space="preserve"> Temp Support Production</t>
    </r>
  </si>
  <si>
    <t>Prototype Support</t>
  </si>
  <si>
    <t>Production Support</t>
  </si>
  <si>
    <t>Production Support (Contingency)</t>
  </si>
  <si>
    <t>Shell To Layer 4 mounts</t>
  </si>
  <si>
    <t>(LBNL Engineering)</t>
  </si>
  <si>
    <t>Mounts (contingency)</t>
  </si>
  <si>
    <t>Interface Parts (Shell to Layer 4)</t>
  </si>
  <si>
    <t>Prototype Half Shell</t>
  </si>
  <si>
    <t>Production Half Shell</t>
  </si>
  <si>
    <t>Production Half Shell (Contingency)</t>
  </si>
  <si>
    <t>Part Trim (Cutouts)</t>
  </si>
  <si>
    <t>Space Frame Assembly Subtotal</t>
  </si>
  <si>
    <t>Hysol Adhesive Batch</t>
  </si>
  <si>
    <t>Mount Blocks</t>
  </si>
  <si>
    <t>WBS</t>
  </si>
  <si>
    <t>PO/UC Number</t>
  </si>
  <si>
    <t>4.2.4</t>
  </si>
  <si>
    <t>5.2.4</t>
  </si>
  <si>
    <t>4.2.3</t>
  </si>
  <si>
    <t>4.2.2</t>
  </si>
  <si>
    <t>5.2.2</t>
  </si>
  <si>
    <t>5.2.3</t>
  </si>
</sst>
</file>

<file path=xl/styles.xml><?xml version="1.0" encoding="utf-8"?>
<styleSheet xmlns="http://schemas.openxmlformats.org/spreadsheetml/2006/main">
  <numFmts count="7">
    <numFmt numFmtId="5" formatCode="&quot;$&quot;#,##0_);\(&quot;$&quot;#,##0\)"/>
    <numFmt numFmtId="6" formatCode="&quot;$&quot;#,##0_);[Red]\(&quot;$&quot;#,##0\)"/>
    <numFmt numFmtId="164" formatCode="&quot;$&quot;#,##0"/>
    <numFmt numFmtId="165" formatCode="0.0"/>
    <numFmt numFmtId="166" formatCode="&quot;$&quot;#,##0.00"/>
    <numFmt numFmtId="167" formatCode="0.0%"/>
    <numFmt numFmtId="168" formatCode="0.000"/>
  </numFmts>
  <fonts count="24">
    <font>
      <sz val="10"/>
      <name val="Arial"/>
    </font>
    <font>
      <b/>
      <sz val="10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strike/>
      <sz val="10"/>
      <name val="Arial"/>
      <family val="2"/>
    </font>
    <font>
      <strike/>
      <sz val="10"/>
      <name val="Arial"/>
      <family val="2"/>
    </font>
    <font>
      <b/>
      <sz val="11"/>
      <color rgb="FFFF0000"/>
      <name val="Arial"/>
      <family val="2"/>
    </font>
    <font>
      <i/>
      <sz val="10"/>
      <color indexed="1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z val="10"/>
      <color indexed="53"/>
      <name val="Arial"/>
      <family val="2"/>
    </font>
    <font>
      <i/>
      <sz val="9"/>
      <name val="Arial"/>
      <family val="2"/>
    </font>
    <font>
      <sz val="12"/>
      <color rgb="FFFF0000"/>
      <name val="Arial"/>
      <family val="2"/>
    </font>
    <font>
      <sz val="10"/>
      <color indexed="53"/>
      <name val="Arial"/>
      <family val="2"/>
    </font>
    <font>
      <sz val="10"/>
      <color rgb="FFFF000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i/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9">
    <xf numFmtId="0" fontId="0" fillId="0" borderId="0" xfId="0"/>
    <xf numFmtId="0" fontId="2" fillId="0" borderId="0" xfId="0" applyFont="1"/>
    <xf numFmtId="0" fontId="0" fillId="0" borderId="0" xfId="0" applyBorder="1"/>
    <xf numFmtId="164" fontId="0" fillId="0" borderId="0" xfId="0" applyNumberFormat="1" applyBorder="1"/>
    <xf numFmtId="164" fontId="1" fillId="0" borderId="2" xfId="0" applyNumberFormat="1" applyFont="1" applyBorder="1"/>
    <xf numFmtId="3" fontId="1" fillId="0" borderId="2" xfId="0" applyNumberFormat="1" applyFont="1" applyBorder="1"/>
    <xf numFmtId="164" fontId="1" fillId="0" borderId="3" xfId="0" applyNumberFormat="1" applyFont="1" applyBorder="1"/>
    <xf numFmtId="0" fontId="0" fillId="0" borderId="5" xfId="0" applyBorder="1"/>
    <xf numFmtId="164" fontId="0" fillId="0" borderId="6" xfId="0" applyNumberFormat="1" applyBorder="1"/>
    <xf numFmtId="164" fontId="0" fillId="0" borderId="5" xfId="0" applyNumberFormat="1" applyBorder="1"/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/>
    <xf numFmtId="0" fontId="0" fillId="0" borderId="0" xfId="0" applyFill="1" applyBorder="1"/>
    <xf numFmtId="166" fontId="0" fillId="0" borderId="0" xfId="0" applyNumberFormat="1" applyAlignment="1">
      <alignment horizontal="center"/>
    </xf>
    <xf numFmtId="166" fontId="2" fillId="0" borderId="0" xfId="0" applyNumberFormat="1" applyFont="1" applyAlignment="1">
      <alignment horizontal="center"/>
    </xf>
    <xf numFmtId="166" fontId="0" fillId="0" borderId="5" xfId="0" applyNumberFormat="1" applyBorder="1" applyAlignment="1">
      <alignment horizontal="center"/>
    </xf>
    <xf numFmtId="0" fontId="2" fillId="0" borderId="0" xfId="0" applyFont="1" applyAlignment="1">
      <alignment horizontal="right" textRotation="90"/>
    </xf>
    <xf numFmtId="0" fontId="2" fillId="0" borderId="0" xfId="0" applyFont="1" applyAlignment="1">
      <alignment textRotation="90"/>
    </xf>
    <xf numFmtId="164" fontId="6" fillId="0" borderId="7" xfId="0" applyNumberFormat="1" applyFont="1" applyBorder="1"/>
    <xf numFmtId="0" fontId="2" fillId="0" borderId="8" xfId="0" applyFont="1" applyBorder="1" applyAlignment="1">
      <alignment horizontal="right"/>
    </xf>
    <xf numFmtId="0" fontId="2" fillId="0" borderId="0" xfId="0" applyFont="1" applyFill="1"/>
    <xf numFmtId="0" fontId="0" fillId="0" borderId="5" xfId="0" applyBorder="1" applyAlignment="1">
      <alignment horizontal="left"/>
    </xf>
    <xf numFmtId="0" fontId="1" fillId="0" borderId="0" xfId="0" applyFont="1" applyFill="1" applyBorder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textRotation="90"/>
    </xf>
    <xf numFmtId="6" fontId="2" fillId="0" borderId="0" xfId="0" applyNumberFormat="1" applyFont="1"/>
    <xf numFmtId="0" fontId="0" fillId="0" borderId="0" xfId="0" applyNumberFormat="1" applyBorder="1" applyAlignment="1">
      <alignment horizontal="right"/>
    </xf>
    <xf numFmtId="5" fontId="2" fillId="0" borderId="0" xfId="0" applyNumberFormat="1" applyFont="1"/>
    <xf numFmtId="164" fontId="0" fillId="0" borderId="0" xfId="0" applyNumberFormat="1"/>
    <xf numFmtId="0" fontId="5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/>
    <xf numFmtId="0" fontId="7" fillId="0" borderId="0" xfId="0" applyFont="1" applyFill="1" applyBorder="1"/>
    <xf numFmtId="0" fontId="8" fillId="0" borderId="0" xfId="0" applyFont="1" applyFill="1" applyBorder="1"/>
    <xf numFmtId="0" fontId="9" fillId="0" borderId="0" xfId="0" applyFont="1" applyBorder="1"/>
    <xf numFmtId="0" fontId="9" fillId="0" borderId="0" xfId="0" applyFont="1"/>
    <xf numFmtId="0" fontId="9" fillId="0" borderId="11" xfId="0" applyFont="1" applyBorder="1"/>
    <xf numFmtId="0" fontId="3" fillId="0" borderId="0" xfId="0" applyFont="1"/>
    <xf numFmtId="3" fontId="0" fillId="0" borderId="0" xfId="0" applyNumberFormat="1"/>
    <xf numFmtId="3" fontId="0" fillId="0" borderId="0" xfId="0" applyNumberFormat="1" applyBorder="1"/>
    <xf numFmtId="0" fontId="3" fillId="0" borderId="5" xfId="0" applyFont="1" applyBorder="1"/>
    <xf numFmtId="1" fontId="0" fillId="0" borderId="0" xfId="0" applyNumberFormat="1" applyAlignment="1">
      <alignment horizontal="center"/>
    </xf>
    <xf numFmtId="1" fontId="2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164" fontId="1" fillId="0" borderId="0" xfId="0" applyNumberFormat="1" applyFont="1" applyBorder="1"/>
    <xf numFmtId="164" fontId="6" fillId="0" borderId="0" xfId="0" applyNumberFormat="1" applyFont="1" applyBorder="1"/>
    <xf numFmtId="0" fontId="2" fillId="0" borderId="20" xfId="0" applyFont="1" applyBorder="1" applyAlignment="1">
      <alignment horizontal="right"/>
    </xf>
    <xf numFmtId="0" fontId="0" fillId="0" borderId="21" xfId="0" applyBorder="1"/>
    <xf numFmtId="0" fontId="0" fillId="0" borderId="20" xfId="0" applyBorder="1"/>
    <xf numFmtId="0" fontId="0" fillId="0" borderId="8" xfId="0" applyBorder="1"/>
    <xf numFmtId="164" fontId="0" fillId="0" borderId="8" xfId="0" applyNumberFormat="1" applyBorder="1"/>
    <xf numFmtId="0" fontId="2" fillId="0" borderId="21" xfId="0" applyFont="1" applyBorder="1" applyAlignment="1">
      <alignment horizontal="right"/>
    </xf>
    <xf numFmtId="164" fontId="0" fillId="0" borderId="20" xfId="0" applyNumberFormat="1" applyBorder="1"/>
    <xf numFmtId="164" fontId="0" fillId="0" borderId="21" xfId="0" applyNumberFormat="1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0" fontId="2" fillId="0" borderId="28" xfId="0" applyFont="1" applyBorder="1" applyAlignment="1">
      <alignment horizontal="right"/>
    </xf>
    <xf numFmtId="0" fontId="0" fillId="0" borderId="29" xfId="0" applyBorder="1"/>
    <xf numFmtId="0" fontId="0" fillId="0" borderId="28" xfId="0" applyBorder="1"/>
    <xf numFmtId="0" fontId="2" fillId="0" borderId="29" xfId="0" applyFont="1" applyBorder="1" applyAlignment="1">
      <alignment horizontal="right"/>
    </xf>
    <xf numFmtId="164" fontId="0" fillId="0" borderId="28" xfId="0" applyNumberFormat="1" applyBorder="1"/>
    <xf numFmtId="164" fontId="0" fillId="0" borderId="29" xfId="0" applyNumberFormat="1" applyBorder="1"/>
    <xf numFmtId="164" fontId="0" fillId="0" borderId="30" xfId="0" applyNumberFormat="1" applyBorder="1"/>
    <xf numFmtId="164" fontId="0" fillId="0" borderId="31" xfId="0" applyNumberFormat="1" applyBorder="1"/>
    <xf numFmtId="164" fontId="0" fillId="0" borderId="32" xfId="0" applyNumberFormat="1" applyBorder="1"/>
    <xf numFmtId="0" fontId="1" fillId="0" borderId="9" xfId="0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0" xfId="0" applyFont="1" applyBorder="1" applyAlignment="1">
      <alignment horizontal="right"/>
    </xf>
    <xf numFmtId="164" fontId="2" fillId="0" borderId="0" xfId="0" applyNumberFormat="1" applyFont="1" applyBorder="1"/>
    <xf numFmtId="0" fontId="2" fillId="0" borderId="11" xfId="0" applyFont="1" applyBorder="1"/>
    <xf numFmtId="0" fontId="0" fillId="0" borderId="12" xfId="0" applyBorder="1" applyAlignment="1">
      <alignment horizontal="right"/>
    </xf>
    <xf numFmtId="0" fontId="0" fillId="0" borderId="13" xfId="0" applyBorder="1"/>
    <xf numFmtId="0" fontId="0" fillId="0" borderId="14" xfId="0" applyBorder="1"/>
    <xf numFmtId="0" fontId="0" fillId="0" borderId="15" xfId="0" applyBorder="1" applyAlignment="1">
      <alignment horizontal="right"/>
    </xf>
    <xf numFmtId="0" fontId="0" fillId="0" borderId="15" xfId="0" applyBorder="1"/>
    <xf numFmtId="0" fontId="0" fillId="0" borderId="16" xfId="0" applyBorder="1" applyAlignment="1">
      <alignment horizontal="right"/>
    </xf>
    <xf numFmtId="0" fontId="0" fillId="0" borderId="12" xfId="0" applyBorder="1"/>
    <xf numFmtId="3" fontId="1" fillId="0" borderId="1" xfId="0" applyNumberFormat="1" applyFont="1" applyBorder="1"/>
    <xf numFmtId="1" fontId="3" fillId="0" borderId="11" xfId="0" applyNumberFormat="1" applyFont="1" applyBorder="1" applyAlignment="1">
      <alignment horizontal="right"/>
    </xf>
    <xf numFmtId="1" fontId="3" fillId="0" borderId="6" xfId="0" applyNumberFormat="1" applyFont="1" applyBorder="1" applyAlignment="1">
      <alignment horizontal="right"/>
    </xf>
    <xf numFmtId="0" fontId="2" fillId="0" borderId="15" xfId="0" applyFont="1" applyBorder="1" applyAlignment="1">
      <alignment horizontal="center"/>
    </xf>
    <xf numFmtId="1" fontId="11" fillId="0" borderId="11" xfId="0" applyNumberFormat="1" applyFont="1" applyBorder="1" applyAlignment="1">
      <alignment horizontal="right"/>
    </xf>
    <xf numFmtId="1" fontId="0" fillId="0" borderId="10" xfId="0" applyNumberFormat="1" applyBorder="1"/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166" fontId="1" fillId="0" borderId="0" xfId="0" applyNumberFormat="1" applyFont="1" applyBorder="1" applyAlignment="1">
      <alignment horizontal="center"/>
    </xf>
    <xf numFmtId="1" fontId="1" fillId="0" borderId="33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 textRotation="90"/>
    </xf>
    <xf numFmtId="0" fontId="2" fillId="0" borderId="12" xfId="0" applyFont="1" applyBorder="1" applyAlignment="1">
      <alignment horizontal="right"/>
    </xf>
    <xf numFmtId="166" fontId="2" fillId="0" borderId="12" xfId="0" applyNumberFormat="1" applyFont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0" fontId="2" fillId="0" borderId="16" xfId="0" applyFont="1" applyBorder="1" applyAlignment="1">
      <alignment textRotation="90"/>
    </xf>
    <xf numFmtId="0" fontId="2" fillId="0" borderId="12" xfId="0" applyFont="1" applyBorder="1" applyAlignment="1">
      <alignment textRotation="90"/>
    </xf>
    <xf numFmtId="0" fontId="2" fillId="0" borderId="13" xfId="0" applyFont="1" applyBorder="1" applyAlignment="1">
      <alignment textRotation="90"/>
    </xf>
    <xf numFmtId="0" fontId="1" fillId="0" borderId="0" xfId="0" applyFont="1" applyBorder="1"/>
    <xf numFmtId="0" fontId="3" fillId="0" borderId="0" xfId="0" applyFont="1" applyAlignment="1">
      <alignment horizontal="left" indent="2"/>
    </xf>
    <xf numFmtId="0" fontId="1" fillId="0" borderId="0" xfId="0" applyFont="1" applyAlignment="1">
      <alignment horizontal="left" indent="1"/>
    </xf>
    <xf numFmtId="0" fontId="13" fillId="0" borderId="0" xfId="0" applyFont="1" applyBorder="1"/>
    <xf numFmtId="0" fontId="13" fillId="0" borderId="0" xfId="0" applyFont="1"/>
    <xf numFmtId="0" fontId="1" fillId="0" borderId="0" xfId="0" applyFo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6" fontId="14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textRotation="90" wrapText="1"/>
    </xf>
    <xf numFmtId="3" fontId="1" fillId="0" borderId="0" xfId="0" applyNumberFormat="1" applyFont="1"/>
    <xf numFmtId="1" fontId="1" fillId="0" borderId="11" xfId="0" applyNumberFormat="1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horizontal="right"/>
    </xf>
    <xf numFmtId="0" fontId="1" fillId="0" borderId="11" xfId="0" applyFont="1" applyBorder="1"/>
    <xf numFmtId="0" fontId="1" fillId="0" borderId="15" xfId="0" applyFont="1" applyBorder="1" applyAlignment="1">
      <alignment horizontal="right"/>
    </xf>
    <xf numFmtId="0" fontId="1" fillId="0" borderId="0" xfId="0" applyFont="1" applyAlignment="1">
      <alignment horizontal="right"/>
    </xf>
    <xf numFmtId="164" fontId="2" fillId="0" borderId="0" xfId="0" applyNumberFormat="1" applyFont="1" applyAlignment="1">
      <alignment horizontal="right" textRotation="90"/>
    </xf>
    <xf numFmtId="164" fontId="1" fillId="0" borderId="0" xfId="0" applyNumberFormat="1" applyFont="1" applyAlignment="1">
      <alignment horizontal="right"/>
    </xf>
    <xf numFmtId="164" fontId="2" fillId="0" borderId="0" xfId="0" applyNumberFormat="1" applyFont="1" applyFill="1" applyBorder="1"/>
    <xf numFmtId="164" fontId="0" fillId="0" borderId="0" xfId="0" applyNumberFormat="1" applyFill="1" applyBorder="1"/>
    <xf numFmtId="164" fontId="1" fillId="0" borderId="0" xfId="0" applyNumberFormat="1" applyFont="1" applyFill="1" applyBorder="1"/>
    <xf numFmtId="164" fontId="7" fillId="0" borderId="0" xfId="0" applyNumberFormat="1" applyFont="1" applyFill="1" applyBorder="1"/>
    <xf numFmtId="164" fontId="8" fillId="0" borderId="0" xfId="0" applyNumberFormat="1" applyFont="1" applyFill="1" applyBorder="1"/>
    <xf numFmtId="164" fontId="3" fillId="0" borderId="0" xfId="0" applyNumberFormat="1" applyFont="1" applyFill="1" applyBorder="1"/>
    <xf numFmtId="164" fontId="2" fillId="0" borderId="0" xfId="0" applyNumberFormat="1" applyFont="1" applyAlignment="1">
      <alignment textRotation="90"/>
    </xf>
    <xf numFmtId="164" fontId="0" fillId="0" borderId="11" xfId="0" applyNumberFormat="1" applyBorder="1"/>
    <xf numFmtId="164" fontId="1" fillId="0" borderId="11" xfId="0" applyNumberFormat="1" applyFont="1" applyBorder="1" applyAlignment="1">
      <alignment horizontal="right"/>
    </xf>
    <xf numFmtId="164" fontId="0" fillId="0" borderId="13" xfId="0" applyNumberFormat="1" applyBorder="1"/>
    <xf numFmtId="164" fontId="5" fillId="0" borderId="0" xfId="0" applyNumberFormat="1" applyFont="1" applyFill="1" applyBorder="1"/>
    <xf numFmtId="165" fontId="0" fillId="0" borderId="0" xfId="0" applyNumberFormat="1"/>
    <xf numFmtId="165" fontId="0" fillId="0" borderId="0" xfId="0" applyNumberFormat="1" applyFill="1"/>
    <xf numFmtId="165" fontId="2" fillId="0" borderId="0" xfId="0" applyNumberFormat="1" applyFont="1" applyAlignment="1">
      <alignment textRotation="90"/>
    </xf>
    <xf numFmtId="165" fontId="2" fillId="0" borderId="0" xfId="0" applyNumberFormat="1" applyFont="1" applyFill="1" applyAlignment="1">
      <alignment textRotation="90"/>
    </xf>
    <xf numFmtId="165" fontId="0" fillId="0" borderId="9" xfId="0" applyNumberFormat="1" applyBorder="1"/>
    <xf numFmtId="165" fontId="0" fillId="0" borderId="9" xfId="0" applyNumberFormat="1" applyFill="1" applyBorder="1"/>
    <xf numFmtId="165" fontId="0" fillId="0" borderId="10" xfId="0" applyNumberFormat="1" applyFill="1" applyBorder="1"/>
    <xf numFmtId="165" fontId="0" fillId="0" borderId="0" xfId="0" applyNumberFormat="1" applyBorder="1"/>
    <xf numFmtId="165" fontId="0" fillId="0" borderId="11" xfId="0" applyNumberFormat="1" applyBorder="1"/>
    <xf numFmtId="165" fontId="0" fillId="0" borderId="5" xfId="0" applyNumberFormat="1" applyBorder="1"/>
    <xf numFmtId="165" fontId="0" fillId="0" borderId="6" xfId="0" applyNumberFormat="1" applyBorder="1"/>
    <xf numFmtId="165" fontId="1" fillId="0" borderId="0" xfId="0" applyNumberFormat="1" applyFont="1" applyBorder="1" applyAlignment="1">
      <alignment horizontal="right"/>
    </xf>
    <xf numFmtId="165" fontId="1" fillId="0" borderId="11" xfId="0" applyNumberFormat="1" applyFont="1" applyBorder="1" applyAlignment="1">
      <alignment horizontal="right"/>
    </xf>
    <xf numFmtId="165" fontId="0" fillId="0" borderId="12" xfId="0" applyNumberFormat="1" applyBorder="1"/>
    <xf numFmtId="165" fontId="0" fillId="0" borderId="13" xfId="0" applyNumberFormat="1" applyBorder="1"/>
    <xf numFmtId="165" fontId="2" fillId="0" borderId="0" xfId="0" applyNumberFormat="1" applyFont="1" applyFill="1" applyBorder="1"/>
    <xf numFmtId="165" fontId="2" fillId="0" borderId="0" xfId="0" applyNumberFormat="1" applyFont="1"/>
    <xf numFmtId="165" fontId="2" fillId="0" borderId="0" xfId="0" applyNumberFormat="1" applyFont="1" applyFill="1"/>
    <xf numFmtId="165" fontId="0" fillId="0" borderId="0" xfId="0" applyNumberFormat="1" applyFill="1" applyBorder="1"/>
    <xf numFmtId="165" fontId="1" fillId="0" borderId="0" xfId="0" applyNumberFormat="1" applyFont="1" applyFill="1" applyBorder="1"/>
    <xf numFmtId="165" fontId="7" fillId="0" borderId="0" xfId="0" applyNumberFormat="1" applyFont="1" applyFill="1" applyBorder="1"/>
    <xf numFmtId="165" fontId="3" fillId="0" borderId="0" xfId="0" applyNumberFormat="1" applyFont="1" applyFill="1" applyBorder="1"/>
    <xf numFmtId="165" fontId="8" fillId="0" borderId="0" xfId="0" applyNumberFormat="1" applyFont="1" applyFill="1" applyBorder="1"/>
    <xf numFmtId="0" fontId="0" fillId="0" borderId="0" xfId="0" applyAlignment="1">
      <alignment horizontal="left" indent="2"/>
    </xf>
    <xf numFmtId="164" fontId="0" fillId="0" borderId="0" xfId="0" applyNumberFormat="1" applyAlignment="1">
      <alignment horizontal="left" indent="2"/>
    </xf>
    <xf numFmtId="164" fontId="0" fillId="0" borderId="11" xfId="0" applyNumberFormat="1" applyBorder="1" applyAlignment="1">
      <alignment horizontal="left" indent="2"/>
    </xf>
    <xf numFmtId="165" fontId="0" fillId="0" borderId="0" xfId="0" applyNumberFormat="1" applyBorder="1" applyAlignment="1">
      <alignment horizontal="left" indent="2"/>
    </xf>
    <xf numFmtId="165" fontId="0" fillId="0" borderId="11" xfId="0" applyNumberFormat="1" applyBorder="1" applyAlignment="1">
      <alignment horizontal="left" indent="2"/>
    </xf>
    <xf numFmtId="3" fontId="0" fillId="0" borderId="0" xfId="0" applyNumberFormat="1" applyAlignment="1">
      <alignment horizontal="left" indent="2"/>
    </xf>
    <xf numFmtId="0" fontId="1" fillId="0" borderId="15" xfId="0" applyFont="1" applyBorder="1" applyAlignment="1">
      <alignment horizontal="left" indent="2"/>
    </xf>
    <xf numFmtId="1" fontId="3" fillId="0" borderId="11" xfId="0" applyNumberFormat="1" applyFont="1" applyBorder="1" applyAlignment="1">
      <alignment horizontal="left" indent="2"/>
    </xf>
    <xf numFmtId="0" fontId="0" fillId="0" borderId="0" xfId="0" applyBorder="1" applyAlignment="1">
      <alignment horizontal="left" indent="2"/>
    </xf>
    <xf numFmtId="164" fontId="0" fillId="0" borderId="0" xfId="0" applyNumberFormat="1" applyBorder="1" applyAlignment="1">
      <alignment horizontal="left" indent="2"/>
    </xf>
    <xf numFmtId="0" fontId="0" fillId="0" borderId="11" xfId="0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3" fillId="0" borderId="0" xfId="0" applyFont="1" applyAlignment="1">
      <alignment horizontal="left" indent="3"/>
    </xf>
    <xf numFmtId="165" fontId="3" fillId="0" borderId="0" xfId="0" applyNumberFormat="1" applyFont="1" applyBorder="1"/>
    <xf numFmtId="0" fontId="15" fillId="0" borderId="0" xfId="0" applyFont="1" applyAlignment="1">
      <alignment horizontal="right"/>
    </xf>
    <xf numFmtId="164" fontId="15" fillId="0" borderId="0" xfId="0" applyNumberFormat="1" applyFont="1"/>
    <xf numFmtId="0" fontId="15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center" wrapText="1"/>
    </xf>
    <xf numFmtId="164" fontId="16" fillId="0" borderId="0" xfId="0" applyNumberFormat="1" applyFont="1"/>
    <xf numFmtId="164" fontId="16" fillId="0" borderId="0" xfId="0" applyNumberFormat="1" applyFont="1" applyAlignment="1">
      <alignment horizontal="right"/>
    </xf>
    <xf numFmtId="0" fontId="3" fillId="0" borderId="9" xfId="0" applyFont="1" applyBorder="1"/>
    <xf numFmtId="0" fontId="2" fillId="0" borderId="12" xfId="0" applyFont="1" applyBorder="1" applyAlignment="1">
      <alignment horizontal="center" textRotation="90"/>
    </xf>
    <xf numFmtId="0" fontId="1" fillId="0" borderId="9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indent="2"/>
    </xf>
    <xf numFmtId="6" fontId="14" fillId="0" borderId="5" xfId="0" applyNumberFormat="1" applyFont="1" applyBorder="1" applyAlignment="1">
      <alignment horizontal="center"/>
    </xf>
    <xf numFmtId="0" fontId="0" fillId="0" borderId="38" xfId="0" applyBorder="1" applyAlignment="1">
      <alignment horizontal="right"/>
    </xf>
    <xf numFmtId="164" fontId="0" fillId="0" borderId="4" xfId="0" applyNumberFormat="1" applyBorder="1"/>
    <xf numFmtId="0" fontId="3" fillId="0" borderId="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6" fontId="17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indent="2"/>
    </xf>
    <xf numFmtId="164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2" xfId="0" applyFont="1" applyBorder="1" applyAlignment="1">
      <alignment horizontal="center" textRotation="90"/>
    </xf>
    <xf numFmtId="0" fontId="5" fillId="0" borderId="0" xfId="0" applyFont="1" applyBorder="1" applyAlignment="1">
      <alignment horizontal="center"/>
    </xf>
    <xf numFmtId="0" fontId="0" fillId="0" borderId="0" xfId="0" applyNumberFormat="1" applyAlignment="1">
      <alignment horizontal="right"/>
    </xf>
    <xf numFmtId="0" fontId="18" fillId="0" borderId="0" xfId="0" applyFont="1" applyAlignment="1">
      <alignment horizontal="right"/>
    </xf>
    <xf numFmtId="167" fontId="0" fillId="0" borderId="0" xfId="0" applyNumberFormat="1"/>
    <xf numFmtId="167" fontId="18" fillId="0" borderId="0" xfId="0" applyNumberFormat="1" applyFont="1"/>
    <xf numFmtId="1" fontId="0" fillId="0" borderId="0" xfId="0" applyNumberFormat="1"/>
    <xf numFmtId="1" fontId="0" fillId="0" borderId="0" xfId="0" applyNumberFormat="1" applyAlignment="1">
      <alignment horizontal="right"/>
    </xf>
    <xf numFmtId="1" fontId="0" fillId="0" borderId="20" xfId="0" applyNumberFormat="1" applyBorder="1"/>
    <xf numFmtId="1" fontId="0" fillId="0" borderId="8" xfId="0" applyNumberFormat="1" applyBorder="1"/>
    <xf numFmtId="1" fontId="0" fillId="0" borderId="21" xfId="0" applyNumberFormat="1" applyBorder="1"/>
    <xf numFmtId="1" fontId="19" fillId="0" borderId="20" xfId="0" applyNumberFormat="1" applyFont="1" applyBorder="1"/>
    <xf numFmtId="1" fontId="19" fillId="0" borderId="8" xfId="0" applyNumberFormat="1" applyFont="1" applyBorder="1"/>
    <xf numFmtId="1" fontId="19" fillId="0" borderId="21" xfId="0" applyNumberFormat="1" applyFont="1" applyBorder="1"/>
    <xf numFmtId="3" fontId="19" fillId="0" borderId="8" xfId="0" applyNumberFormat="1" applyFont="1" applyBorder="1"/>
    <xf numFmtId="164" fontId="0" fillId="0" borderId="0" xfId="0" applyNumberFormat="1" applyAlignment="1"/>
    <xf numFmtId="2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textRotation="180"/>
    </xf>
    <xf numFmtId="1" fontId="3" fillId="0" borderId="0" xfId="0" applyNumberFormat="1" applyFont="1" applyAlignment="1">
      <alignment horizontal="center" wrapText="1"/>
    </xf>
    <xf numFmtId="165" fontId="3" fillId="0" borderId="0" xfId="0" applyNumberFormat="1" applyFont="1" applyAlignment="1">
      <alignment horizontal="center" wrapText="1"/>
    </xf>
    <xf numFmtId="168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horizontal="center" wrapText="1"/>
    </xf>
    <xf numFmtId="2" fontId="3" fillId="0" borderId="0" xfId="0" applyNumberFormat="1" applyFont="1" applyAlignment="1">
      <alignment horizontal="center" wrapText="1"/>
    </xf>
    <xf numFmtId="0" fontId="0" fillId="0" borderId="0" xfId="0" applyAlignment="1"/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wrapText="1"/>
    </xf>
    <xf numFmtId="165" fontId="3" fillId="0" borderId="0" xfId="0" applyNumberFormat="1" applyFont="1" applyAlignment="1">
      <alignment wrapText="1"/>
    </xf>
    <xf numFmtId="168" fontId="3" fillId="0" borderId="0" xfId="0" applyNumberFormat="1" applyFont="1" applyAlignment="1">
      <alignment wrapText="1"/>
    </xf>
    <xf numFmtId="0" fontId="3" fillId="0" borderId="0" xfId="0" applyFont="1" applyAlignment="1">
      <alignment horizontal="left"/>
    </xf>
    <xf numFmtId="0" fontId="21" fillId="0" borderId="0" xfId="0" applyFo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 indent="1"/>
    </xf>
    <xf numFmtId="9" fontId="0" fillId="0" borderId="0" xfId="0" applyNumberFormat="1" applyAlignment="1"/>
    <xf numFmtId="1" fontId="0" fillId="0" borderId="0" xfId="0" applyNumberFormat="1" applyAlignment="1"/>
    <xf numFmtId="165" fontId="0" fillId="0" borderId="0" xfId="0" applyNumberFormat="1" applyAlignment="1"/>
    <xf numFmtId="168" fontId="0" fillId="0" borderId="0" xfId="0" applyNumberFormat="1" applyAlignment="1"/>
    <xf numFmtId="166" fontId="0" fillId="0" borderId="0" xfId="0" applyNumberFormat="1" applyAlignment="1"/>
    <xf numFmtId="2" fontId="0" fillId="0" borderId="0" xfId="0" applyNumberFormat="1" applyAlignment="1"/>
    <xf numFmtId="0" fontId="0" fillId="0" borderId="0" xfId="0" applyFont="1" applyAlignment="1"/>
    <xf numFmtId="2" fontId="0" fillId="0" borderId="0" xfId="0" applyNumberFormat="1"/>
    <xf numFmtId="166" fontId="0" fillId="0" borderId="0" xfId="0" applyNumberFormat="1"/>
    <xf numFmtId="168" fontId="3" fillId="0" borderId="0" xfId="0" applyNumberFormat="1" applyFont="1"/>
    <xf numFmtId="2" fontId="3" fillId="0" borderId="0" xfId="0" applyNumberFormat="1" applyFont="1"/>
    <xf numFmtId="168" fontId="0" fillId="0" borderId="0" xfId="0" applyNumberFormat="1"/>
    <xf numFmtId="2" fontId="1" fillId="0" borderId="0" xfId="0" applyNumberFormat="1" applyFont="1"/>
    <xf numFmtId="166" fontId="1" fillId="0" borderId="0" xfId="0" applyNumberFormat="1" applyFont="1"/>
    <xf numFmtId="0" fontId="1" fillId="0" borderId="0" xfId="0" applyFont="1" applyAlignment="1">
      <alignment horizontal="left"/>
    </xf>
    <xf numFmtId="0" fontId="18" fillId="0" borderId="0" xfId="0" applyFont="1"/>
    <xf numFmtId="165" fontId="18" fillId="0" borderId="0" xfId="0" applyNumberFormat="1" applyFont="1" applyBorder="1"/>
    <xf numFmtId="0" fontId="18" fillId="0" borderId="0" xfId="0" applyFont="1" applyAlignment="1">
      <alignment horizontal="left" indent="2"/>
    </xf>
    <xf numFmtId="164" fontId="18" fillId="0" borderId="0" xfId="0" applyNumberFormat="1" applyFont="1"/>
    <xf numFmtId="164" fontId="18" fillId="0" borderId="11" xfId="0" applyNumberFormat="1" applyFont="1" applyBorder="1"/>
    <xf numFmtId="165" fontId="18" fillId="0" borderId="11" xfId="0" applyNumberFormat="1" applyFont="1" applyBorder="1"/>
    <xf numFmtId="3" fontId="18" fillId="0" borderId="0" xfId="0" applyNumberFormat="1" applyFont="1"/>
    <xf numFmtId="0" fontId="22" fillId="0" borderId="15" xfId="0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1" fontId="18" fillId="0" borderId="11" xfId="0" applyNumberFormat="1" applyFont="1" applyBorder="1" applyAlignment="1">
      <alignment horizontal="right"/>
    </xf>
    <xf numFmtId="0" fontId="18" fillId="0" borderId="0" xfId="0" applyFont="1" applyBorder="1"/>
    <xf numFmtId="164" fontId="18" fillId="0" borderId="0" xfId="0" applyNumberFormat="1" applyFont="1" applyBorder="1"/>
    <xf numFmtId="0" fontId="18" fillId="0" borderId="11" xfId="0" applyFont="1" applyBorder="1"/>
    <xf numFmtId="0" fontId="18" fillId="0" borderId="15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22" fillId="0" borderId="0" xfId="0" applyFont="1" applyAlignment="1">
      <alignment horizontal="left" indent="1"/>
    </xf>
    <xf numFmtId="164" fontId="22" fillId="0" borderId="0" xfId="0" applyNumberFormat="1" applyFont="1" applyAlignment="1">
      <alignment horizontal="right"/>
    </xf>
    <xf numFmtId="164" fontId="22" fillId="0" borderId="11" xfId="0" applyNumberFormat="1" applyFont="1" applyBorder="1" applyAlignment="1">
      <alignment horizontal="right"/>
    </xf>
    <xf numFmtId="165" fontId="22" fillId="0" borderId="0" xfId="0" applyNumberFormat="1" applyFont="1" applyBorder="1" applyAlignment="1">
      <alignment horizontal="right"/>
    </xf>
    <xf numFmtId="165" fontId="22" fillId="0" borderId="11" xfId="0" applyNumberFormat="1" applyFont="1" applyBorder="1" applyAlignment="1">
      <alignment horizontal="right"/>
    </xf>
    <xf numFmtId="0" fontId="23" fillId="0" borderId="0" xfId="0" applyFont="1" applyAlignment="1">
      <alignment horizontal="right"/>
    </xf>
    <xf numFmtId="164" fontId="23" fillId="0" borderId="0" xfId="0" applyNumberFormat="1" applyFont="1"/>
    <xf numFmtId="0" fontId="23" fillId="0" borderId="0" xfId="0" applyFont="1"/>
    <xf numFmtId="0" fontId="18" fillId="0" borderId="0" xfId="0" applyNumberFormat="1" applyFont="1" applyBorder="1" applyAlignment="1">
      <alignment horizontal="right"/>
    </xf>
    <xf numFmtId="0" fontId="22" fillId="0" borderId="12" xfId="0" applyFont="1" applyBorder="1" applyAlignment="1">
      <alignment horizontal="center" textRotation="90"/>
    </xf>
    <xf numFmtId="164" fontId="0" fillId="0" borderId="0" xfId="0" applyNumberFormat="1" applyAlignment="1">
      <alignment horizontal="right"/>
    </xf>
    <xf numFmtId="1" fontId="19" fillId="0" borderId="20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1" fontId="19" fillId="0" borderId="17" xfId="0" applyNumberFormat="1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3" fillId="0" borderId="5" xfId="0" applyFont="1" applyBorder="1" applyAlignment="1"/>
    <xf numFmtId="0" fontId="0" fillId="0" borderId="5" xfId="0" applyBorder="1" applyAlignment="1"/>
    <xf numFmtId="0" fontId="0" fillId="0" borderId="6" xfId="0" applyBorder="1" applyAlignment="1"/>
    <xf numFmtId="0" fontId="3" fillId="0" borderId="6" xfId="0" applyFont="1" applyBorder="1" applyAlignment="1"/>
    <xf numFmtId="0" fontId="12" fillId="0" borderId="3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37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5" xfId="0" applyFont="1" applyBorder="1" applyAlignment="1">
      <alignment horizontal="center"/>
    </xf>
    <xf numFmtId="166" fontId="12" fillId="0" borderId="14" xfId="0" applyNumberFormat="1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0" fillId="0" borderId="0" xfId="0" applyFont="1" applyAlignment="1"/>
    <xf numFmtId="0" fontId="0" fillId="0" borderId="0" xfId="0" applyAlignment="1"/>
    <xf numFmtId="0" fontId="3" fillId="0" borderId="0" xfId="0" applyFont="1" applyAlignment="1"/>
  </cellXfs>
  <cellStyles count="1">
    <cellStyle name="Normal" xfId="0" builtinId="0"/>
  </cellStyles>
  <dxfs count="5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4:S48"/>
  <sheetViews>
    <sheetView workbookViewId="0">
      <selection activeCell="G51" sqref="G51"/>
    </sheetView>
  </sheetViews>
  <sheetFormatPr defaultRowHeight="12.75"/>
  <cols>
    <col min="2" max="2" width="8.85546875" style="13"/>
    <col min="3" max="3" width="11.5703125" bestFit="1" customWidth="1"/>
    <col min="4" max="4" width="9.42578125" bestFit="1" customWidth="1"/>
    <col min="5" max="5" width="7.5703125" bestFit="1" customWidth="1"/>
    <col min="6" max="6" width="12.85546875" bestFit="1" customWidth="1"/>
    <col min="7" max="7" width="7.85546875" bestFit="1" customWidth="1"/>
    <col min="8" max="8" width="10.5703125" style="41" bestFit="1" customWidth="1"/>
    <col min="9" max="9" width="8.5703125" bestFit="1" customWidth="1"/>
    <col min="12" max="12" width="9.7109375" style="13" customWidth="1"/>
    <col min="13" max="13" width="11.42578125" bestFit="1" customWidth="1"/>
    <col min="14" max="14" width="9.28515625" bestFit="1" customWidth="1"/>
    <col min="15" max="15" width="7.5703125" bestFit="1" customWidth="1"/>
    <col min="16" max="16" width="12.7109375" bestFit="1" customWidth="1"/>
    <col min="17" max="17" width="7.7109375" bestFit="1" customWidth="1"/>
    <col min="18" max="18" width="11.28515625" style="41" bestFit="1" customWidth="1"/>
    <col min="19" max="19" width="8.5703125" bestFit="1" customWidth="1"/>
  </cols>
  <sheetData>
    <row r="4" spans="2:19" ht="13.5" thickBot="1"/>
    <row r="5" spans="2:19" ht="15.75" thickTop="1">
      <c r="B5" s="198"/>
      <c r="C5" s="272" t="str">
        <f>'Pre- and Production'!AB161</f>
        <v>BASE</v>
      </c>
      <c r="D5" s="273"/>
      <c r="E5" s="273"/>
      <c r="F5" s="273"/>
      <c r="G5" s="273"/>
      <c r="H5" s="273"/>
      <c r="I5" s="274"/>
      <c r="J5" s="197"/>
      <c r="K5" s="197"/>
      <c r="L5" s="198"/>
      <c r="M5" s="272" t="str">
        <f>'Pre- and Production'!AL161</f>
        <v>CONTINGENCY</v>
      </c>
      <c r="N5" s="273"/>
      <c r="O5" s="273"/>
      <c r="P5" s="273"/>
      <c r="Q5" s="273"/>
      <c r="R5" s="273"/>
      <c r="S5" s="274"/>
    </row>
    <row r="6" spans="2:19" ht="15">
      <c r="B6" s="198" t="str">
        <f>'Pre- and Production'!AA162</f>
        <v>Year</v>
      </c>
      <c r="C6" s="202" t="str">
        <f>'Pre- and Production'!AB162</f>
        <v>Shop Time</v>
      </c>
      <c r="D6" s="203" t="str">
        <f>'Pre- and Production'!AC162</f>
        <v>MT Time</v>
      </c>
      <c r="E6" s="203" t="str">
        <f>'Pre- and Production'!AD162</f>
        <v>CMM</v>
      </c>
      <c r="F6" s="203" t="str">
        <f>'Pre- and Production'!AE162</f>
        <v>Engineering</v>
      </c>
      <c r="G6" s="203" t="str">
        <f>'Pre- and Production'!AF162</f>
        <v>Design</v>
      </c>
      <c r="H6" s="205" t="str">
        <f>'Pre- and Production'!AG162</f>
        <v>M&amp;S Cost</v>
      </c>
      <c r="I6" s="204"/>
      <c r="J6" s="197"/>
      <c r="K6" s="197"/>
      <c r="L6" s="198"/>
      <c r="M6" s="202" t="str">
        <f>'Pre- and Production'!AL162</f>
        <v>Shop Time</v>
      </c>
      <c r="N6" s="203" t="str">
        <f>'Pre- and Production'!AM162</f>
        <v>MT Time</v>
      </c>
      <c r="O6" s="203" t="str">
        <f>'Pre- and Production'!AN162</f>
        <v>CMM</v>
      </c>
      <c r="P6" s="203" t="str">
        <f>'Pre- and Production'!AO162</f>
        <v>Engineering</v>
      </c>
      <c r="Q6" s="203" t="str">
        <f>'Pre- and Production'!AP162</f>
        <v>Design</v>
      </c>
      <c r="R6" s="205" t="str">
        <f>'Pre- and Production'!AQ162</f>
        <v>M&amp;S Cost</v>
      </c>
      <c r="S6" s="204"/>
    </row>
    <row r="7" spans="2:19">
      <c r="B7" s="198">
        <f>'Pre- and Production'!AA163</f>
        <v>2008</v>
      </c>
      <c r="C7" s="199">
        <f>'Pre- and Production'!AB163</f>
        <v>0</v>
      </c>
      <c r="D7" s="200">
        <f>'Pre- and Production'!AC163</f>
        <v>0</v>
      </c>
      <c r="E7" s="200">
        <f>'Pre- and Production'!AD163</f>
        <v>0</v>
      </c>
      <c r="F7" s="200">
        <f>'Pre- and Production'!AE163</f>
        <v>0</v>
      </c>
      <c r="G7" s="200">
        <f>'Pre- and Production'!AF163</f>
        <v>0</v>
      </c>
      <c r="H7" s="54">
        <f>'Pre- and Production'!AG163</f>
        <v>0</v>
      </c>
      <c r="I7" s="201"/>
      <c r="J7" s="197"/>
      <c r="K7" s="197"/>
      <c r="L7" s="198">
        <f>'Pre- and Production'!AK163</f>
        <v>2008</v>
      </c>
      <c r="M7" s="199">
        <f>'Pre- and Production'!AL163</f>
        <v>0</v>
      </c>
      <c r="N7" s="200">
        <f>'Pre- and Production'!AM163</f>
        <v>0</v>
      </c>
      <c r="O7" s="200">
        <f>'Pre- and Production'!AN163</f>
        <v>0</v>
      </c>
      <c r="P7" s="200">
        <f>'Pre- and Production'!AO163</f>
        <v>0</v>
      </c>
      <c r="Q7" s="200">
        <f>'Pre- and Production'!AP163</f>
        <v>0</v>
      </c>
      <c r="R7" s="54">
        <f>'Pre- and Production'!AQ163</f>
        <v>0</v>
      </c>
      <c r="S7" s="201"/>
    </row>
    <row r="8" spans="2:19">
      <c r="B8" s="198">
        <f>'Pre- and Production'!AA164</f>
        <v>2009</v>
      </c>
      <c r="C8" s="199">
        <f>'Pre- and Production'!AB164</f>
        <v>500</v>
      </c>
      <c r="D8" s="200">
        <f>'Pre- and Production'!AC164</f>
        <v>628</v>
      </c>
      <c r="E8" s="200">
        <f>'Pre- and Production'!AD164</f>
        <v>92</v>
      </c>
      <c r="F8" s="200">
        <f>'Pre- and Production'!AE164</f>
        <v>416</v>
      </c>
      <c r="G8" s="200">
        <f>'Pre- and Production'!AF164</f>
        <v>0</v>
      </c>
      <c r="H8" s="54">
        <f>'Pre- and Production'!AG164</f>
        <v>43492.5</v>
      </c>
      <c r="I8" s="201"/>
      <c r="J8" s="197"/>
      <c r="K8" s="197"/>
      <c r="L8" s="198">
        <f>'Pre- and Production'!AK164</f>
        <v>2009</v>
      </c>
      <c r="M8" s="199">
        <f>'Pre- and Production'!AL164</f>
        <v>72</v>
      </c>
      <c r="N8" s="200">
        <f>'Pre- and Production'!AM164</f>
        <v>197</v>
      </c>
      <c r="O8" s="200">
        <f>'Pre- and Production'!AN164</f>
        <v>112</v>
      </c>
      <c r="P8" s="200">
        <f>'Pre- and Production'!AO164</f>
        <v>92</v>
      </c>
      <c r="Q8" s="200">
        <f>'Pre- and Production'!AP164</f>
        <v>0</v>
      </c>
      <c r="R8" s="54">
        <f>'Pre- and Production'!AQ164</f>
        <v>6425</v>
      </c>
      <c r="S8" s="201"/>
    </row>
    <row r="9" spans="2:19">
      <c r="B9" s="198">
        <f>'Pre- and Production'!AA165</f>
        <v>2010</v>
      </c>
      <c r="C9" s="199">
        <f>'Pre- and Production'!AB165</f>
        <v>0</v>
      </c>
      <c r="D9" s="200">
        <f>'Pre- and Production'!AC165</f>
        <v>0</v>
      </c>
      <c r="E9" s="200">
        <f>'Pre- and Production'!AD165</f>
        <v>0</v>
      </c>
      <c r="F9" s="200">
        <f>'Pre- and Production'!AE165</f>
        <v>0</v>
      </c>
      <c r="G9" s="200">
        <f>'Pre- and Production'!AF165</f>
        <v>0</v>
      </c>
      <c r="H9" s="54">
        <f>'Pre- and Production'!AG165</f>
        <v>0</v>
      </c>
      <c r="I9" s="201"/>
      <c r="J9" s="197"/>
      <c r="K9" s="197"/>
      <c r="L9" s="198">
        <f>'Pre- and Production'!AK165</f>
        <v>2010</v>
      </c>
      <c r="M9" s="199">
        <f>'Pre- and Production'!AL165</f>
        <v>0</v>
      </c>
      <c r="N9" s="200">
        <f>'Pre- and Production'!AM165</f>
        <v>0</v>
      </c>
      <c r="O9" s="200">
        <f>'Pre- and Production'!AN165</f>
        <v>0</v>
      </c>
      <c r="P9" s="200">
        <f>'Pre- and Production'!AO165</f>
        <v>0</v>
      </c>
      <c r="Q9" s="200">
        <f>'Pre- and Production'!AP165</f>
        <v>0</v>
      </c>
      <c r="R9" s="54">
        <f>'Pre- and Production'!AQ165</f>
        <v>0</v>
      </c>
      <c r="S9" s="201"/>
    </row>
    <row r="10" spans="2:19">
      <c r="B10" s="198" t="str">
        <f>'Pre- and Production'!AA166</f>
        <v>Hytec</v>
      </c>
      <c r="C10" s="199">
        <f>'Pre- and Production'!AB166</f>
        <v>174</v>
      </c>
      <c r="D10" s="200">
        <f>'Pre- and Production'!AC166</f>
        <v>0</v>
      </c>
      <c r="E10" s="200">
        <f>'Pre- and Production'!AD166</f>
        <v>0</v>
      </c>
      <c r="F10" s="200">
        <f>'Pre- and Production'!AE166</f>
        <v>0</v>
      </c>
      <c r="G10" s="200">
        <f>'Pre- and Production'!AF166</f>
        <v>0</v>
      </c>
      <c r="H10" s="54">
        <f>'Pre- and Production'!AG166</f>
        <v>5550</v>
      </c>
      <c r="I10" s="201"/>
      <c r="J10" s="197"/>
      <c r="K10" s="197"/>
      <c r="L10" s="198" t="str">
        <f>'Pre- and Production'!AK166</f>
        <v>Hytec</v>
      </c>
      <c r="M10" s="199">
        <f>'Pre- and Production'!AL166</f>
        <v>31.6</v>
      </c>
      <c r="N10" s="200">
        <f>'Pre- and Production'!AM166</f>
        <v>0</v>
      </c>
      <c r="O10" s="200">
        <f>'Pre- and Production'!AN166</f>
        <v>0</v>
      </c>
      <c r="P10" s="200">
        <f>'Pre- and Production'!AO166</f>
        <v>0</v>
      </c>
      <c r="Q10" s="200">
        <f>'Pre- and Production'!AP166</f>
        <v>0</v>
      </c>
      <c r="R10" s="54">
        <f>'Pre- and Production'!AQ166</f>
        <v>804</v>
      </c>
      <c r="S10" s="201"/>
    </row>
    <row r="11" spans="2:19">
      <c r="B11" s="198" t="str">
        <f>'Pre- and Production'!AA167</f>
        <v>LANL</v>
      </c>
      <c r="C11" s="199">
        <f>'Pre- and Production'!AB167</f>
        <v>0</v>
      </c>
      <c r="D11" s="200">
        <f>'Pre- and Production'!AC167</f>
        <v>0</v>
      </c>
      <c r="E11" s="200">
        <f>'Pre- and Production'!AD167</f>
        <v>0</v>
      </c>
      <c r="F11" s="200">
        <f>'Pre- and Production'!AE167</f>
        <v>0</v>
      </c>
      <c r="G11" s="200">
        <f>'Pre- and Production'!AF167</f>
        <v>0</v>
      </c>
      <c r="H11" s="54">
        <f>'Pre- and Production'!AG167</f>
        <v>0</v>
      </c>
      <c r="I11" s="201"/>
      <c r="J11" s="197"/>
      <c r="K11" s="197"/>
      <c r="L11" s="198" t="str">
        <f>'Pre- and Production'!AK167</f>
        <v>LANL</v>
      </c>
      <c r="M11" s="199">
        <f>'Pre- and Production'!AL167</f>
        <v>0</v>
      </c>
      <c r="N11" s="200">
        <f>'Pre- and Production'!AM167</f>
        <v>0</v>
      </c>
      <c r="O11" s="200">
        <f>'Pre- and Production'!AN167</f>
        <v>0</v>
      </c>
      <c r="P11" s="200">
        <f>'Pre- and Production'!AO167</f>
        <v>0</v>
      </c>
      <c r="Q11" s="200">
        <f>'Pre- and Production'!AP167</f>
        <v>0</v>
      </c>
      <c r="R11" s="54">
        <f>'Pre- and Production'!AQ167</f>
        <v>0</v>
      </c>
      <c r="S11" s="201"/>
    </row>
    <row r="12" spans="2:19" ht="15">
      <c r="B12" s="198"/>
      <c r="C12" s="269" t="str">
        <f>'Pre- and Production'!AB168</f>
        <v>LBNL Cost</v>
      </c>
      <c r="D12" s="270"/>
      <c r="E12" s="270"/>
      <c r="F12" s="270"/>
      <c r="G12" s="270"/>
      <c r="H12" s="270"/>
      <c r="I12" s="271"/>
      <c r="J12" s="197"/>
      <c r="K12" s="197"/>
      <c r="L12" s="198"/>
      <c r="M12" s="269" t="str">
        <f>'Pre- and Production'!AL168</f>
        <v>LBNL Contingency</v>
      </c>
      <c r="N12" s="270"/>
      <c r="O12" s="270"/>
      <c r="P12" s="270"/>
      <c r="Q12" s="270"/>
      <c r="R12" s="270"/>
      <c r="S12" s="271"/>
    </row>
    <row r="13" spans="2:19" ht="15">
      <c r="B13" s="198"/>
      <c r="C13" s="202" t="str">
        <f>'Pre- and Production'!AB169</f>
        <v>Shop Cost</v>
      </c>
      <c r="D13" s="203" t="str">
        <f>'Pre- and Production'!AC169</f>
        <v>MT Cost</v>
      </c>
      <c r="E13" s="203" t="str">
        <f>'Pre- and Production'!AD169</f>
        <v>CMM</v>
      </c>
      <c r="F13" s="203" t="str">
        <f>'Pre- and Production'!AE169</f>
        <v>Engineering</v>
      </c>
      <c r="G13" s="203" t="str">
        <f>'Pre- and Production'!AF169</f>
        <v>Design</v>
      </c>
      <c r="H13" s="205" t="str">
        <f>'Pre- and Production'!AG169</f>
        <v>M&amp;S Cost</v>
      </c>
      <c r="I13" s="204" t="str">
        <f>'Pre- and Production'!AH169</f>
        <v>Totals</v>
      </c>
      <c r="J13" s="197"/>
      <c r="K13" s="197"/>
      <c r="L13" s="198"/>
      <c r="M13" s="202" t="str">
        <f>'Pre- and Production'!AL169</f>
        <v>Shop Cost</v>
      </c>
      <c r="N13" s="203" t="str">
        <f>'Pre- and Production'!AM169</f>
        <v>MT Cost</v>
      </c>
      <c r="O13" s="203" t="str">
        <f>'Pre- and Production'!AN169</f>
        <v>CMM</v>
      </c>
      <c r="P13" s="203" t="str">
        <f>'Pre- and Production'!AO169</f>
        <v>Engineering</v>
      </c>
      <c r="Q13" s="203" t="str">
        <f>'Pre- and Production'!AP169</f>
        <v>Design</v>
      </c>
      <c r="R13" s="205" t="str">
        <f>'Pre- and Production'!AQ169</f>
        <v>M&amp;S Cost</v>
      </c>
      <c r="S13" s="204" t="str">
        <f>'Pre- and Production'!AR169</f>
        <v>Totals</v>
      </c>
    </row>
    <row r="14" spans="2:19">
      <c r="B14" s="198">
        <f>'Pre- and Production'!AA170</f>
        <v>2008</v>
      </c>
      <c r="C14" s="56">
        <f>'Pre- and Production'!AB170</f>
        <v>0</v>
      </c>
      <c r="D14" s="54">
        <f>'Pre- and Production'!AC170</f>
        <v>0</v>
      </c>
      <c r="E14" s="54">
        <f>'Pre- and Production'!AD170</f>
        <v>0</v>
      </c>
      <c r="F14" s="54">
        <f>'Pre- and Production'!AE170</f>
        <v>0</v>
      </c>
      <c r="G14" s="54">
        <f>'Pre- and Production'!AF170</f>
        <v>0</v>
      </c>
      <c r="H14" s="54">
        <f>'Pre- and Production'!AG170</f>
        <v>0</v>
      </c>
      <c r="I14" s="57">
        <f>'Pre- and Production'!AH170</f>
        <v>0</v>
      </c>
      <c r="J14" s="197"/>
      <c r="K14" s="197"/>
      <c r="L14" s="198">
        <f>'Pre- and Production'!AK170</f>
        <v>2008</v>
      </c>
      <c r="M14" s="56">
        <f>'Pre- and Production'!AL170</f>
        <v>0</v>
      </c>
      <c r="N14" s="54">
        <f>'Pre- and Production'!AM170</f>
        <v>0</v>
      </c>
      <c r="O14" s="54">
        <f>'Pre- and Production'!AN170</f>
        <v>0</v>
      </c>
      <c r="P14" s="54">
        <f>'Pre- and Production'!AO170</f>
        <v>0</v>
      </c>
      <c r="Q14" s="54">
        <f>'Pre- and Production'!AP170</f>
        <v>0</v>
      </c>
      <c r="R14" s="54">
        <f>'Pre- and Production'!AQ170</f>
        <v>0</v>
      </c>
      <c r="S14" s="57">
        <f>'Pre- and Production'!AR170</f>
        <v>0</v>
      </c>
    </row>
    <row r="15" spans="2:19">
      <c r="B15" s="198">
        <f>'Pre- and Production'!AA171</f>
        <v>2009</v>
      </c>
      <c r="C15" s="56">
        <f>'Pre- and Production'!AB171</f>
        <v>63500</v>
      </c>
      <c r="D15" s="54">
        <f>'Pre- and Production'!AC171</f>
        <v>73476</v>
      </c>
      <c r="E15" s="54">
        <f>'Pre- and Production'!AD171</f>
        <v>11684</v>
      </c>
      <c r="F15" s="54">
        <f>'Pre- and Production'!AE171</f>
        <v>62400</v>
      </c>
      <c r="G15" s="54">
        <f>'Pre- and Production'!AF171</f>
        <v>0</v>
      </c>
      <c r="H15" s="54">
        <f>'Pre- and Production'!AG171</f>
        <v>43492.5</v>
      </c>
      <c r="I15" s="57">
        <f>'Pre- and Production'!AH171</f>
        <v>254552.5</v>
      </c>
      <c r="J15" s="197"/>
      <c r="K15" s="197"/>
      <c r="L15" s="198">
        <f>'Pre- and Production'!AK171</f>
        <v>2009</v>
      </c>
      <c r="M15" s="56">
        <f>'Pre- and Production'!AL171</f>
        <v>9144</v>
      </c>
      <c r="N15" s="54">
        <f>'Pre- and Production'!AM171</f>
        <v>23049</v>
      </c>
      <c r="O15" s="54">
        <f>'Pre- and Production'!AN171</f>
        <v>14224</v>
      </c>
      <c r="P15" s="54">
        <f>'Pre- and Production'!AO171</f>
        <v>13800</v>
      </c>
      <c r="Q15" s="54">
        <f>'Pre- and Production'!AP171</f>
        <v>0</v>
      </c>
      <c r="R15" s="54">
        <f>'Pre- and Production'!AQ171</f>
        <v>6425</v>
      </c>
      <c r="S15" s="57">
        <f>'Pre- and Production'!AR171</f>
        <v>66642</v>
      </c>
    </row>
    <row r="16" spans="2:19" ht="13.5" thickBot="1">
      <c r="B16" s="198">
        <f>'Pre- and Production'!AA172</f>
        <v>2010</v>
      </c>
      <c r="C16" s="58">
        <f>'Pre- and Production'!AB172</f>
        <v>0</v>
      </c>
      <c r="D16" s="59">
        <f>'Pre- and Production'!AC172</f>
        <v>0</v>
      </c>
      <c r="E16" s="59">
        <f>'Pre- and Production'!AD172</f>
        <v>0</v>
      </c>
      <c r="F16" s="59">
        <f>'Pre- and Production'!AE172</f>
        <v>0</v>
      </c>
      <c r="G16" s="59">
        <f>'Pre- and Production'!AF172</f>
        <v>0</v>
      </c>
      <c r="H16" s="59">
        <f>'Pre- and Production'!AG172</f>
        <v>0</v>
      </c>
      <c r="I16" s="60">
        <f>'Pre- and Production'!AH172</f>
        <v>0</v>
      </c>
      <c r="J16" s="197"/>
      <c r="K16" s="197"/>
      <c r="L16" s="198">
        <f>'Pre- and Production'!AK172</f>
        <v>2010</v>
      </c>
      <c r="M16" s="58">
        <f>'Pre- and Production'!AL172</f>
        <v>0</v>
      </c>
      <c r="N16" s="59">
        <f>'Pre- and Production'!AM172</f>
        <v>0</v>
      </c>
      <c r="O16" s="59">
        <f>'Pre- and Production'!AN172</f>
        <v>0</v>
      </c>
      <c r="P16" s="59">
        <f>'Pre- and Production'!AO172</f>
        <v>0</v>
      </c>
      <c r="Q16" s="59">
        <f>'Pre- and Production'!AP172</f>
        <v>0</v>
      </c>
      <c r="R16" s="59">
        <f>'Pre- and Production'!AQ172</f>
        <v>0</v>
      </c>
      <c r="S16" s="60">
        <f>'Pre- and Production'!AR172</f>
        <v>0</v>
      </c>
    </row>
    <row r="17" spans="2:19" ht="13.5" thickTop="1">
      <c r="B17" s="198"/>
      <c r="C17" s="197"/>
      <c r="D17" s="197"/>
      <c r="E17" s="197"/>
      <c r="F17" s="197"/>
      <c r="G17" s="197"/>
      <c r="H17" s="41" t="str">
        <f>'Pre- and Production'!AG173</f>
        <v>Base Cost</v>
      </c>
      <c r="I17" s="31">
        <f>'Pre- and Production'!AH173</f>
        <v>254552.5</v>
      </c>
      <c r="J17" s="197"/>
      <c r="K17" s="197"/>
      <c r="L17" s="198"/>
      <c r="M17" s="197"/>
      <c r="N17" s="197"/>
      <c r="O17" s="197"/>
      <c r="P17" s="197"/>
      <c r="Q17" s="197"/>
      <c r="R17" s="41" t="str">
        <f>'Pre- and Production'!AQ173</f>
        <v>Contingency</v>
      </c>
      <c r="S17" s="31">
        <f>'Pre- and Production'!AR173</f>
        <v>66642</v>
      </c>
    </row>
    <row r="18" spans="2:19">
      <c r="B18" s="198"/>
      <c r="C18" s="197"/>
      <c r="D18" s="197"/>
      <c r="E18" s="197"/>
      <c r="F18" s="197"/>
      <c r="G18" s="197"/>
      <c r="I18" s="197"/>
      <c r="J18" s="197"/>
      <c r="K18" s="197"/>
      <c r="L18" s="198"/>
      <c r="M18" s="197"/>
      <c r="N18" s="197"/>
      <c r="O18" s="197"/>
      <c r="P18" s="197"/>
      <c r="Q18" s="197"/>
      <c r="R18" s="41" t="str">
        <f>'Pre- and Production'!AQ174</f>
        <v>Percent</v>
      </c>
      <c r="S18" s="195">
        <f>'Pre- and Production'!AR174</f>
        <v>0.26180061087594897</v>
      </c>
    </row>
    <row r="19" spans="2:19" ht="13.5" thickBot="1">
      <c r="B19" s="198"/>
      <c r="C19" s="197"/>
      <c r="D19" s="197"/>
      <c r="E19" s="197"/>
      <c r="F19" s="197"/>
      <c r="G19" s="197"/>
      <c r="I19" s="197"/>
      <c r="J19" s="197"/>
      <c r="K19" s="197"/>
      <c r="L19" s="198"/>
      <c r="M19" s="197"/>
      <c r="N19" s="197"/>
      <c r="O19" s="197"/>
      <c r="P19" s="197"/>
      <c r="Q19" s="197"/>
      <c r="S19" s="197"/>
    </row>
    <row r="20" spans="2:19" ht="15.75" thickTop="1">
      <c r="B20" s="198"/>
      <c r="C20" s="272" t="str">
        <f>'Pre- and Production'!AB176</f>
        <v>Pre-Production Base Cost</v>
      </c>
      <c r="D20" s="273"/>
      <c r="E20" s="273"/>
      <c r="F20" s="273"/>
      <c r="G20" s="273"/>
      <c r="H20" s="273"/>
      <c r="I20" s="274"/>
      <c r="J20" s="197"/>
      <c r="K20" s="197"/>
      <c r="L20" s="198"/>
      <c r="M20" s="272" t="str">
        <f>'Pre- and Production'!AL176</f>
        <v>Pre-Production Contingency Cost</v>
      </c>
      <c r="N20" s="273"/>
      <c r="O20" s="273"/>
      <c r="P20" s="273"/>
      <c r="Q20" s="273"/>
      <c r="R20" s="273"/>
      <c r="S20" s="274"/>
    </row>
    <row r="21" spans="2:19" ht="15">
      <c r="B21" s="198"/>
      <c r="C21" s="202" t="str">
        <f>'Pre- and Production'!AB177</f>
        <v>Shop Time</v>
      </c>
      <c r="D21" s="203" t="str">
        <f>'Pre- and Production'!AC177</f>
        <v>MT Time</v>
      </c>
      <c r="E21" s="203" t="str">
        <f>'Pre- and Production'!AD177</f>
        <v>CMM</v>
      </c>
      <c r="F21" s="203" t="str">
        <f>'Pre- and Production'!AE177</f>
        <v>Engineering</v>
      </c>
      <c r="G21" s="203" t="str">
        <f>'Pre- and Production'!AF177</f>
        <v>Design</v>
      </c>
      <c r="H21" s="205" t="str">
        <f>'Pre- and Production'!AG177</f>
        <v>M&amp;S Cost</v>
      </c>
      <c r="I21" s="204"/>
      <c r="J21" s="197"/>
      <c r="K21" s="197"/>
      <c r="L21" s="198"/>
      <c r="M21" s="202" t="str">
        <f>'Pre- and Production'!AL177</f>
        <v>Shop Time</v>
      </c>
      <c r="N21" s="203" t="str">
        <f>'Pre- and Production'!AM177</f>
        <v>MT Time</v>
      </c>
      <c r="O21" s="203" t="str">
        <f>'Pre- and Production'!AN177</f>
        <v>CMM</v>
      </c>
      <c r="P21" s="203" t="str">
        <f>'Pre- and Production'!AO177</f>
        <v>Engineering</v>
      </c>
      <c r="Q21" s="203" t="str">
        <f>'Pre- and Production'!AP177</f>
        <v>Design</v>
      </c>
      <c r="R21" s="205" t="str">
        <f>'Pre- and Production'!AQ177</f>
        <v>M&amp;S Cost</v>
      </c>
      <c r="S21" s="204"/>
    </row>
    <row r="22" spans="2:19">
      <c r="B22" s="198">
        <f>'Pre- and Production'!AA178</f>
        <v>2008</v>
      </c>
      <c r="C22" s="199">
        <f>'Pre- and Production'!AB178</f>
        <v>0</v>
      </c>
      <c r="D22" s="200">
        <f>'Pre- and Production'!AC178</f>
        <v>0</v>
      </c>
      <c r="E22" s="200">
        <f>'Pre- and Production'!AD178</f>
        <v>0</v>
      </c>
      <c r="F22" s="200">
        <f>'Pre- and Production'!AE178</f>
        <v>0</v>
      </c>
      <c r="G22" s="200">
        <f>'Pre- and Production'!AF178</f>
        <v>0</v>
      </c>
      <c r="H22" s="54">
        <f>'Pre- and Production'!AG178</f>
        <v>0</v>
      </c>
      <c r="I22" s="201"/>
      <c r="J22" s="197"/>
      <c r="K22" s="197"/>
      <c r="L22" s="198">
        <f>'Pre- and Production'!AK178</f>
        <v>2008</v>
      </c>
      <c r="M22" s="199">
        <f>'Pre- and Production'!AL178</f>
        <v>0</v>
      </c>
      <c r="N22" s="200">
        <f>'Pre- and Production'!AM178</f>
        <v>0</v>
      </c>
      <c r="O22" s="200">
        <f>'Pre- and Production'!AN178</f>
        <v>0</v>
      </c>
      <c r="P22" s="200">
        <f>'Pre- and Production'!AO178</f>
        <v>0</v>
      </c>
      <c r="Q22" s="200">
        <f>'Pre- and Production'!AP178</f>
        <v>0</v>
      </c>
      <c r="R22" s="54">
        <f>'Pre- and Production'!AQ178</f>
        <v>0</v>
      </c>
      <c r="S22" s="201"/>
    </row>
    <row r="23" spans="2:19">
      <c r="B23" s="198">
        <f>'Pre- and Production'!AA179</f>
        <v>2009</v>
      </c>
      <c r="C23" s="199">
        <f>'Pre- and Production'!AB179</f>
        <v>0</v>
      </c>
      <c r="D23" s="200">
        <f>'Pre- and Production'!AC179</f>
        <v>0</v>
      </c>
      <c r="E23" s="200">
        <f>'Pre- and Production'!AD179</f>
        <v>0</v>
      </c>
      <c r="F23" s="200">
        <f>'Pre- and Production'!AE179</f>
        <v>0</v>
      </c>
      <c r="G23" s="200">
        <f>'Pre- and Production'!AF179</f>
        <v>0</v>
      </c>
      <c r="H23" s="54">
        <f>'Pre- and Production'!AG179</f>
        <v>0</v>
      </c>
      <c r="I23" s="201"/>
      <c r="J23" s="197"/>
      <c r="K23" s="197"/>
      <c r="L23" s="198">
        <f>'Pre- and Production'!AK179</f>
        <v>2009</v>
      </c>
      <c r="M23" s="199">
        <f>'Pre- and Production'!AL179</f>
        <v>0</v>
      </c>
      <c r="N23" s="200">
        <f>'Pre- and Production'!AM179</f>
        <v>0</v>
      </c>
      <c r="O23" s="200">
        <f>'Pre- and Production'!AN179</f>
        <v>0</v>
      </c>
      <c r="P23" s="200">
        <f>'Pre- and Production'!AO179</f>
        <v>0</v>
      </c>
      <c r="Q23" s="200">
        <f>'Pre- and Production'!AP179</f>
        <v>0</v>
      </c>
      <c r="R23" s="54">
        <f>'Pre- and Production'!AQ179</f>
        <v>0</v>
      </c>
      <c r="S23" s="201"/>
    </row>
    <row r="24" spans="2:19">
      <c r="B24" s="198">
        <f>'Pre- and Production'!AA180</f>
        <v>2010</v>
      </c>
      <c r="C24" s="199">
        <f>'Pre- and Production'!AB180</f>
        <v>0</v>
      </c>
      <c r="D24" s="200">
        <f>'Pre- and Production'!AC180</f>
        <v>0</v>
      </c>
      <c r="E24" s="200">
        <f>'Pre- and Production'!AD180</f>
        <v>0</v>
      </c>
      <c r="F24" s="200">
        <f>'Pre- and Production'!AE180</f>
        <v>0</v>
      </c>
      <c r="G24" s="200">
        <f>'Pre- and Production'!AF180</f>
        <v>0</v>
      </c>
      <c r="H24" s="54">
        <f>'Pre- and Production'!AG180</f>
        <v>0</v>
      </c>
      <c r="I24" s="201"/>
      <c r="J24" s="197"/>
      <c r="K24" s="197"/>
      <c r="L24" s="198">
        <f>'Pre- and Production'!AK180</f>
        <v>2010</v>
      </c>
      <c r="M24" s="199">
        <f>'Pre- and Production'!AL180</f>
        <v>0</v>
      </c>
      <c r="N24" s="200">
        <f>'Pre- and Production'!AM180</f>
        <v>0</v>
      </c>
      <c r="O24" s="200">
        <f>'Pre- and Production'!AN180</f>
        <v>0</v>
      </c>
      <c r="P24" s="200">
        <f>'Pre- and Production'!AO180</f>
        <v>0</v>
      </c>
      <c r="Q24" s="200">
        <f>'Pre- and Production'!AP180</f>
        <v>0</v>
      </c>
      <c r="R24" s="54">
        <f>'Pre- and Production'!AQ180</f>
        <v>0</v>
      </c>
      <c r="S24" s="201"/>
    </row>
    <row r="25" spans="2:19">
      <c r="B25" s="198" t="str">
        <f>'Pre- and Production'!AA181</f>
        <v>Hytec</v>
      </c>
      <c r="C25" s="199">
        <f>'Pre- and Production'!AB181</f>
        <v>0</v>
      </c>
      <c r="D25" s="200">
        <f>'Pre- and Production'!AC181</f>
        <v>0</v>
      </c>
      <c r="E25" s="200">
        <f>'Pre- and Production'!AD181</f>
        <v>0</v>
      </c>
      <c r="F25" s="200">
        <f>'Pre- and Production'!AE181</f>
        <v>0</v>
      </c>
      <c r="G25" s="200">
        <f>'Pre- and Production'!AF181</f>
        <v>0</v>
      </c>
      <c r="H25" s="54">
        <f>'Pre- and Production'!AG181</f>
        <v>0</v>
      </c>
      <c r="I25" s="201"/>
      <c r="J25" s="197"/>
      <c r="K25" s="197"/>
      <c r="L25" s="198" t="str">
        <f>'Pre- and Production'!AK181</f>
        <v>Hytec</v>
      </c>
      <c r="M25" s="199">
        <f>'Pre- and Production'!AL181</f>
        <v>0</v>
      </c>
      <c r="N25" s="200">
        <f>'Pre- and Production'!AM181</f>
        <v>0</v>
      </c>
      <c r="O25" s="200">
        <f>'Pre- and Production'!AN181</f>
        <v>0</v>
      </c>
      <c r="P25" s="200">
        <f>'Pre- and Production'!AO181</f>
        <v>0</v>
      </c>
      <c r="Q25" s="200">
        <f>'Pre- and Production'!AP181</f>
        <v>0</v>
      </c>
      <c r="R25" s="54">
        <f>'Pre- and Production'!AQ181</f>
        <v>0</v>
      </c>
      <c r="S25" s="201"/>
    </row>
    <row r="26" spans="2:19">
      <c r="B26" s="198" t="str">
        <f>'Pre- and Production'!AA182</f>
        <v>LANL</v>
      </c>
      <c r="C26" s="199">
        <f>'Pre- and Production'!AB182</f>
        <v>0</v>
      </c>
      <c r="D26" s="200">
        <f>'Pre- and Production'!AC182</f>
        <v>0</v>
      </c>
      <c r="E26" s="200">
        <f>'Pre- and Production'!AD182</f>
        <v>0</v>
      </c>
      <c r="F26" s="200">
        <f>'Pre- and Production'!AE182</f>
        <v>0</v>
      </c>
      <c r="G26" s="200">
        <f>'Pre- and Production'!AF182</f>
        <v>0</v>
      </c>
      <c r="H26" s="54">
        <f>'Pre- and Production'!AG182</f>
        <v>0</v>
      </c>
      <c r="I26" s="201"/>
      <c r="J26" s="197"/>
      <c r="K26" s="197"/>
      <c r="L26" s="198" t="str">
        <f>'Pre- and Production'!AK182</f>
        <v>LANL</v>
      </c>
      <c r="M26" s="199">
        <f>'Pre- and Production'!AL182</f>
        <v>0</v>
      </c>
      <c r="N26" s="200">
        <f>'Pre- and Production'!AM182</f>
        <v>0</v>
      </c>
      <c r="O26" s="200">
        <f>'Pre- and Production'!AN182</f>
        <v>0</v>
      </c>
      <c r="P26" s="200">
        <f>'Pre- and Production'!AO182</f>
        <v>0</v>
      </c>
      <c r="Q26" s="200">
        <f>'Pre- and Production'!AP182</f>
        <v>0</v>
      </c>
      <c r="R26" s="54">
        <f>'Pre- and Production'!AQ182</f>
        <v>0</v>
      </c>
      <c r="S26" s="201"/>
    </row>
    <row r="27" spans="2:19" ht="15">
      <c r="B27" s="198"/>
      <c r="C27" s="269" t="str">
        <f>'Pre- and Production'!AB183</f>
        <v>LBNL Cost</v>
      </c>
      <c r="D27" s="270"/>
      <c r="E27" s="270"/>
      <c r="F27" s="270"/>
      <c r="G27" s="270"/>
      <c r="H27" s="270"/>
      <c r="I27" s="271"/>
      <c r="J27" s="197"/>
      <c r="K27" s="197"/>
      <c r="L27" s="198"/>
      <c r="M27" s="269" t="str">
        <f>'Pre- and Production'!AL183</f>
        <v>LBNL Cost</v>
      </c>
      <c r="N27" s="270"/>
      <c r="O27" s="270"/>
      <c r="P27" s="270"/>
      <c r="Q27" s="270"/>
      <c r="R27" s="270"/>
      <c r="S27" s="271"/>
    </row>
    <row r="28" spans="2:19" ht="15">
      <c r="B28" s="198"/>
      <c r="C28" s="202" t="str">
        <f>'Pre- and Production'!AB184</f>
        <v>Shop Cost</v>
      </c>
      <c r="D28" s="203" t="str">
        <f>'Pre- and Production'!AC184</f>
        <v>MT Cost</v>
      </c>
      <c r="E28" s="203" t="str">
        <f>'Pre- and Production'!AD184</f>
        <v>CMM</v>
      </c>
      <c r="F28" s="203" t="str">
        <f>'Pre- and Production'!AE184</f>
        <v>Engineering</v>
      </c>
      <c r="G28" s="203" t="str">
        <f>'Pre- and Production'!AF184</f>
        <v>Design</v>
      </c>
      <c r="H28" s="205" t="str">
        <f>'Pre- and Production'!AG184</f>
        <v>M&amp;S Cost</v>
      </c>
      <c r="I28" s="204" t="str">
        <f>'Pre- and Production'!AH184</f>
        <v>Totals</v>
      </c>
      <c r="J28" s="197"/>
      <c r="K28" s="197"/>
      <c r="L28" s="198"/>
      <c r="M28" s="202" t="str">
        <f>'Pre- and Production'!AL184</f>
        <v>Shop Cost</v>
      </c>
      <c r="N28" s="203" t="str">
        <f>'Pre- and Production'!AM184</f>
        <v>MT Cost</v>
      </c>
      <c r="O28" s="203" t="str">
        <f>'Pre- and Production'!AN184</f>
        <v>CMM</v>
      </c>
      <c r="P28" s="203" t="str">
        <f>'Pre- and Production'!AO184</f>
        <v>Engineering</v>
      </c>
      <c r="Q28" s="203" t="str">
        <f>'Pre- and Production'!AP184</f>
        <v>Design</v>
      </c>
      <c r="R28" s="205" t="str">
        <f>'Pre- and Production'!AQ184</f>
        <v>M&amp;S Cost</v>
      </c>
      <c r="S28" s="204" t="str">
        <f>'Pre- and Production'!AR184</f>
        <v>Totals</v>
      </c>
    </row>
    <row r="29" spans="2:19">
      <c r="B29" s="198">
        <f>'Pre- and Production'!AA185</f>
        <v>2008</v>
      </c>
      <c r="C29" s="56">
        <f>'Pre- and Production'!AB185</f>
        <v>0</v>
      </c>
      <c r="D29" s="54">
        <f>'Pre- and Production'!AC185</f>
        <v>0</v>
      </c>
      <c r="E29" s="54">
        <f>'Pre- and Production'!AD185</f>
        <v>0</v>
      </c>
      <c r="F29" s="54">
        <f>'Pre- and Production'!AE185</f>
        <v>0</v>
      </c>
      <c r="G29" s="54">
        <f>'Pre- and Production'!AF185</f>
        <v>0</v>
      </c>
      <c r="H29" s="54">
        <f>'Pre- and Production'!AG185</f>
        <v>0</v>
      </c>
      <c r="I29" s="57">
        <f>'Pre- and Production'!AH185</f>
        <v>0</v>
      </c>
      <c r="J29" s="197"/>
      <c r="K29" s="197"/>
      <c r="L29" s="198">
        <f>'Pre- and Production'!AK185</f>
        <v>2008</v>
      </c>
      <c r="M29" s="56">
        <f>'Pre- and Production'!AL185</f>
        <v>0</v>
      </c>
      <c r="N29" s="54">
        <f>'Pre- and Production'!AM185</f>
        <v>0</v>
      </c>
      <c r="O29" s="54">
        <f>'Pre- and Production'!AN185</f>
        <v>0</v>
      </c>
      <c r="P29" s="54">
        <f>'Pre- and Production'!AO185</f>
        <v>0</v>
      </c>
      <c r="Q29" s="54">
        <f>'Pre- and Production'!AP185</f>
        <v>0</v>
      </c>
      <c r="R29" s="54">
        <f>'Pre- and Production'!AQ185</f>
        <v>0</v>
      </c>
      <c r="S29" s="57">
        <f>'Pre- and Production'!AR185</f>
        <v>0</v>
      </c>
    </row>
    <row r="30" spans="2:19">
      <c r="B30" s="198">
        <f>'Pre- and Production'!AA186</f>
        <v>2009</v>
      </c>
      <c r="C30" s="56">
        <f>'Pre- and Production'!AB186</f>
        <v>0</v>
      </c>
      <c r="D30" s="54">
        <f>'Pre- and Production'!AC186</f>
        <v>0</v>
      </c>
      <c r="E30" s="54">
        <f>'Pre- and Production'!AD186</f>
        <v>0</v>
      </c>
      <c r="F30" s="54">
        <f>'Pre- and Production'!AE186</f>
        <v>0</v>
      </c>
      <c r="G30" s="54">
        <f>'Pre- and Production'!AF186</f>
        <v>0</v>
      </c>
      <c r="H30" s="54">
        <f>'Pre- and Production'!AG186</f>
        <v>0</v>
      </c>
      <c r="I30" s="57">
        <f>'Pre- and Production'!AH186</f>
        <v>0</v>
      </c>
      <c r="J30" s="197"/>
      <c r="K30" s="197"/>
      <c r="L30" s="198">
        <f>'Pre- and Production'!AK186</f>
        <v>2009</v>
      </c>
      <c r="M30" s="56">
        <f>'Pre- and Production'!AL186</f>
        <v>0</v>
      </c>
      <c r="N30" s="54">
        <f>'Pre- and Production'!AM186</f>
        <v>0</v>
      </c>
      <c r="O30" s="54">
        <f>'Pre- and Production'!AN186</f>
        <v>0</v>
      </c>
      <c r="P30" s="54">
        <f>'Pre- and Production'!AO186</f>
        <v>0</v>
      </c>
      <c r="Q30" s="54">
        <f>'Pre- and Production'!AP186</f>
        <v>0</v>
      </c>
      <c r="R30" s="54">
        <f>'Pre- and Production'!AQ186</f>
        <v>0</v>
      </c>
      <c r="S30" s="57">
        <f>'Pre- and Production'!AR186</f>
        <v>0</v>
      </c>
    </row>
    <row r="31" spans="2:19" ht="13.5" thickBot="1">
      <c r="B31" s="198">
        <f>'Pre- and Production'!AA187</f>
        <v>2010</v>
      </c>
      <c r="C31" s="58">
        <f>'Pre- and Production'!AB187</f>
        <v>0</v>
      </c>
      <c r="D31" s="59">
        <f>'Pre- and Production'!AC187</f>
        <v>0</v>
      </c>
      <c r="E31" s="59">
        <f>'Pre- and Production'!AD187</f>
        <v>0</v>
      </c>
      <c r="F31" s="59">
        <f>'Pre- and Production'!AE187</f>
        <v>0</v>
      </c>
      <c r="G31" s="59">
        <f>'Pre- and Production'!AF187</f>
        <v>0</v>
      </c>
      <c r="H31" s="59">
        <f>'Pre- and Production'!AG187</f>
        <v>0</v>
      </c>
      <c r="I31" s="60">
        <f>'Pre- and Production'!AH187</f>
        <v>0</v>
      </c>
      <c r="J31" s="197"/>
      <c r="K31" s="197"/>
      <c r="L31" s="198">
        <f>'Pre- and Production'!AK187</f>
        <v>2010</v>
      </c>
      <c r="M31" s="58">
        <f>'Pre- and Production'!AL187</f>
        <v>0</v>
      </c>
      <c r="N31" s="59">
        <f>'Pre- and Production'!AM187</f>
        <v>0</v>
      </c>
      <c r="O31" s="59">
        <f>'Pre- and Production'!AN187</f>
        <v>0</v>
      </c>
      <c r="P31" s="59">
        <f>'Pre- and Production'!AO187</f>
        <v>0</v>
      </c>
      <c r="Q31" s="59">
        <f>'Pre- and Production'!AP187</f>
        <v>0</v>
      </c>
      <c r="R31" s="59">
        <f>'Pre- and Production'!AQ187</f>
        <v>0</v>
      </c>
      <c r="S31" s="60">
        <f>'Pre- and Production'!AR187</f>
        <v>0</v>
      </c>
    </row>
    <row r="32" spans="2:19" ht="13.5" thickTop="1">
      <c r="B32" s="198"/>
      <c r="C32" s="197"/>
      <c r="D32" s="197"/>
      <c r="E32" s="197"/>
      <c r="F32" s="197"/>
      <c r="G32" s="197"/>
      <c r="H32" s="41" t="str">
        <f>'Pre- and Production'!AG188</f>
        <v>Base Cost</v>
      </c>
      <c r="I32" s="31">
        <f>'Pre- and Production'!AH188</f>
        <v>0</v>
      </c>
      <c r="J32" s="197"/>
      <c r="K32" s="197"/>
      <c r="L32" s="198"/>
      <c r="M32" s="197"/>
      <c r="N32" s="197"/>
      <c r="O32" s="197"/>
      <c r="P32" s="197"/>
      <c r="Q32" s="197"/>
      <c r="R32" s="41" t="str">
        <f>'Pre- and Production'!AQ188</f>
        <v>Contingency</v>
      </c>
      <c r="S32" s="31">
        <f>'Pre- and Production'!AR188</f>
        <v>0</v>
      </c>
    </row>
    <row r="33" spans="2:19">
      <c r="B33" s="198"/>
      <c r="C33" s="197"/>
      <c r="D33" s="197"/>
      <c r="E33" s="197"/>
      <c r="F33" s="197"/>
      <c r="G33" s="197"/>
      <c r="I33" s="197"/>
      <c r="J33" s="197"/>
      <c r="K33" s="197"/>
      <c r="L33" s="198"/>
      <c r="M33" s="197"/>
      <c r="N33" s="197"/>
      <c r="O33" s="197"/>
      <c r="P33" s="197"/>
      <c r="Q33" s="197"/>
      <c r="R33" s="41" t="str">
        <f>'Pre- and Production'!AQ189</f>
        <v>Percent</v>
      </c>
      <c r="S33" s="195" t="e">
        <f>'Pre- and Production'!AR189</f>
        <v>#DIV/0!</v>
      </c>
    </row>
    <row r="34" spans="2:19" ht="13.5" thickBot="1">
      <c r="B34" s="198"/>
      <c r="C34" s="197"/>
      <c r="D34" s="197"/>
      <c r="E34" s="197"/>
      <c r="F34" s="197"/>
      <c r="G34" s="197"/>
      <c r="I34" s="197"/>
      <c r="J34" s="197"/>
      <c r="K34" s="197"/>
      <c r="L34" s="198"/>
      <c r="M34" s="197"/>
      <c r="N34" s="197"/>
      <c r="O34" s="197"/>
      <c r="P34" s="197"/>
      <c r="Q34" s="197"/>
      <c r="S34" s="197"/>
    </row>
    <row r="35" spans="2:19" ht="15.75" thickTop="1">
      <c r="B35" s="198"/>
      <c r="C35" s="272" t="str">
        <f>'Pre- and Production'!AB191</f>
        <v>Production Base Cost</v>
      </c>
      <c r="D35" s="273"/>
      <c r="E35" s="273"/>
      <c r="F35" s="273"/>
      <c r="G35" s="273"/>
      <c r="H35" s="273"/>
      <c r="I35" s="274"/>
      <c r="J35" s="197"/>
      <c r="K35" s="197"/>
      <c r="L35" s="198"/>
      <c r="M35" s="272" t="str">
        <f>'Pre- and Production'!AL191</f>
        <v>Production Contingency Cost</v>
      </c>
      <c r="N35" s="273"/>
      <c r="O35" s="273"/>
      <c r="P35" s="273"/>
      <c r="Q35" s="273"/>
      <c r="R35" s="273"/>
      <c r="S35" s="274"/>
    </row>
    <row r="36" spans="2:19" ht="15">
      <c r="B36" s="198"/>
      <c r="C36" s="202" t="str">
        <f>'Pre- and Production'!AB192</f>
        <v>Shop Time</v>
      </c>
      <c r="D36" s="203" t="str">
        <f>'Pre- and Production'!AC192</f>
        <v>MT Time</v>
      </c>
      <c r="E36" s="203" t="str">
        <f>'Pre- and Production'!AD192</f>
        <v>CMM</v>
      </c>
      <c r="F36" s="203" t="str">
        <f>'Pre- and Production'!AE192</f>
        <v>Engineering</v>
      </c>
      <c r="G36" s="203" t="str">
        <f>'Pre- and Production'!AF192</f>
        <v>Design</v>
      </c>
      <c r="H36" s="205" t="str">
        <f>'Pre- and Production'!AG192</f>
        <v>M&amp;S Cost</v>
      </c>
      <c r="I36" s="204"/>
      <c r="J36" s="197"/>
      <c r="K36" s="197"/>
      <c r="L36" s="198"/>
      <c r="M36" s="202" t="str">
        <f>'Pre- and Production'!AL192</f>
        <v>Shop Time</v>
      </c>
      <c r="N36" s="203" t="str">
        <f>'Pre- and Production'!AM192</f>
        <v>MT Time</v>
      </c>
      <c r="O36" s="203" t="str">
        <f>'Pre- and Production'!AN192</f>
        <v>CMM</v>
      </c>
      <c r="P36" s="203" t="str">
        <f>'Pre- and Production'!AO192</f>
        <v>Engineering</v>
      </c>
      <c r="Q36" s="203" t="str">
        <f>'Pre- and Production'!AP192</f>
        <v>Design</v>
      </c>
      <c r="R36" s="205" t="str">
        <f>'Pre- and Production'!AQ192</f>
        <v>M&amp;S Cost</v>
      </c>
      <c r="S36" s="204"/>
    </row>
    <row r="37" spans="2:19">
      <c r="B37" s="198">
        <f>'Pre- and Production'!AA193</f>
        <v>2008</v>
      </c>
      <c r="C37" s="199">
        <f>'Pre- and Production'!AB193</f>
        <v>0</v>
      </c>
      <c r="D37" s="200">
        <f>'Pre- and Production'!AC193</f>
        <v>0</v>
      </c>
      <c r="E37" s="200">
        <f>'Pre- and Production'!AD193</f>
        <v>0</v>
      </c>
      <c r="F37" s="200">
        <f>'Pre- and Production'!AE193</f>
        <v>0</v>
      </c>
      <c r="G37" s="200">
        <f>'Pre- and Production'!AF193</f>
        <v>0</v>
      </c>
      <c r="H37" s="54">
        <f>'Pre- and Production'!AG193</f>
        <v>0</v>
      </c>
      <c r="I37" s="201"/>
      <c r="J37" s="197"/>
      <c r="K37" s="197"/>
      <c r="L37" s="198">
        <f>'Pre- and Production'!AK193</f>
        <v>2008</v>
      </c>
      <c r="M37" s="199">
        <f>'Pre- and Production'!AL193</f>
        <v>0</v>
      </c>
      <c r="N37" s="200">
        <f>'Pre- and Production'!AM193</f>
        <v>0</v>
      </c>
      <c r="O37" s="200">
        <f>'Pre- and Production'!AN193</f>
        <v>0</v>
      </c>
      <c r="P37" s="200">
        <f>'Pre- and Production'!AO193</f>
        <v>0</v>
      </c>
      <c r="Q37" s="200">
        <f>'Pre- and Production'!AP193</f>
        <v>0</v>
      </c>
      <c r="R37" s="54">
        <f>'Pre- and Production'!AQ193</f>
        <v>0</v>
      </c>
      <c r="S37" s="201"/>
    </row>
    <row r="38" spans="2:19">
      <c r="B38" s="198">
        <f>'Pre- and Production'!AA194</f>
        <v>2009</v>
      </c>
      <c r="C38" s="199">
        <f>'Pre- and Production'!AB194</f>
        <v>500</v>
      </c>
      <c r="D38" s="200">
        <f>'Pre- and Production'!AC194</f>
        <v>628</v>
      </c>
      <c r="E38" s="200">
        <f>'Pre- and Production'!AD194</f>
        <v>92</v>
      </c>
      <c r="F38" s="200">
        <f>'Pre- and Production'!AE194</f>
        <v>416</v>
      </c>
      <c r="G38" s="200">
        <f>'Pre- and Production'!AF194</f>
        <v>0</v>
      </c>
      <c r="H38" s="54">
        <f>'Pre- and Production'!AG194</f>
        <v>43492.5</v>
      </c>
      <c r="I38" s="201"/>
      <c r="J38" s="197"/>
      <c r="K38" s="197"/>
      <c r="L38" s="198">
        <f>'Pre- and Production'!AK194</f>
        <v>2009</v>
      </c>
      <c r="M38" s="199">
        <f>'Pre- and Production'!AL194</f>
        <v>72</v>
      </c>
      <c r="N38" s="200">
        <f>'Pre- and Production'!AM194</f>
        <v>197</v>
      </c>
      <c r="O38" s="200">
        <f>'Pre- and Production'!AN194</f>
        <v>112</v>
      </c>
      <c r="P38" s="200">
        <f>'Pre- and Production'!AO194</f>
        <v>92</v>
      </c>
      <c r="Q38" s="200">
        <f>'Pre- and Production'!AP194</f>
        <v>0</v>
      </c>
      <c r="R38" s="54">
        <f>'Pre- and Production'!AQ194</f>
        <v>6425</v>
      </c>
      <c r="S38" s="201"/>
    </row>
    <row r="39" spans="2:19">
      <c r="B39" s="198">
        <f>'Pre- and Production'!AA195</f>
        <v>2010</v>
      </c>
      <c r="C39" s="199">
        <f>'Pre- and Production'!AB195</f>
        <v>0</v>
      </c>
      <c r="D39" s="200">
        <f>'Pre- and Production'!AC195</f>
        <v>0</v>
      </c>
      <c r="E39" s="200">
        <f>'Pre- and Production'!AD195</f>
        <v>0</v>
      </c>
      <c r="F39" s="200">
        <f>'Pre- and Production'!AE195</f>
        <v>0</v>
      </c>
      <c r="G39" s="200">
        <f>'Pre- and Production'!AF195</f>
        <v>0</v>
      </c>
      <c r="H39" s="54">
        <f>'Pre- and Production'!AG195</f>
        <v>0</v>
      </c>
      <c r="I39" s="201"/>
      <c r="J39" s="197"/>
      <c r="K39" s="197"/>
      <c r="L39" s="198">
        <f>'Pre- and Production'!AK195</f>
        <v>2010</v>
      </c>
      <c r="M39" s="199">
        <f>'Pre- and Production'!AL195</f>
        <v>0</v>
      </c>
      <c r="N39" s="200">
        <f>'Pre- and Production'!AM195</f>
        <v>0</v>
      </c>
      <c r="O39" s="200">
        <f>'Pre- and Production'!AN195</f>
        <v>0</v>
      </c>
      <c r="P39" s="200">
        <f>'Pre- and Production'!AO195</f>
        <v>0</v>
      </c>
      <c r="Q39" s="200">
        <f>'Pre- and Production'!AP195</f>
        <v>0</v>
      </c>
      <c r="R39" s="54">
        <f>'Pre- and Production'!AQ195</f>
        <v>0</v>
      </c>
      <c r="S39" s="201"/>
    </row>
    <row r="40" spans="2:19">
      <c r="B40" s="198" t="str">
        <f>'Pre- and Production'!AA196</f>
        <v>Hytec</v>
      </c>
      <c r="C40" s="199">
        <f>'Pre- and Production'!AB196</f>
        <v>174</v>
      </c>
      <c r="D40" s="200">
        <f>'Pre- and Production'!AC196</f>
        <v>0</v>
      </c>
      <c r="E40" s="200">
        <f>'Pre- and Production'!AD196</f>
        <v>0</v>
      </c>
      <c r="F40" s="200">
        <f>'Pre- and Production'!AE196</f>
        <v>0</v>
      </c>
      <c r="G40" s="200">
        <f>'Pre- and Production'!AF196</f>
        <v>0</v>
      </c>
      <c r="H40" s="54">
        <f>'Pre- and Production'!AG196</f>
        <v>5550</v>
      </c>
      <c r="I40" s="201"/>
      <c r="J40" s="197"/>
      <c r="K40" s="197"/>
      <c r="L40" s="198" t="str">
        <f>'Pre- and Production'!AK196</f>
        <v>Hytec</v>
      </c>
      <c r="M40" s="199">
        <f>'Pre- and Production'!AL196</f>
        <v>31.6</v>
      </c>
      <c r="N40" s="200">
        <f>'Pre- and Production'!AM196</f>
        <v>0</v>
      </c>
      <c r="O40" s="200">
        <f>'Pre- and Production'!AN196</f>
        <v>0</v>
      </c>
      <c r="P40" s="200">
        <f>'Pre- and Production'!AO196</f>
        <v>0</v>
      </c>
      <c r="Q40" s="200">
        <f>'Pre- and Production'!AP196</f>
        <v>0</v>
      </c>
      <c r="R40" s="54">
        <f>'Pre- and Production'!AQ196</f>
        <v>804</v>
      </c>
      <c r="S40" s="201"/>
    </row>
    <row r="41" spans="2:19">
      <c r="B41" s="198" t="str">
        <f>'Pre- and Production'!AA197</f>
        <v>LANL</v>
      </c>
      <c r="C41" s="199">
        <f>'Pre- and Production'!AB197</f>
        <v>0</v>
      </c>
      <c r="D41" s="200">
        <f>'Pre- and Production'!AC197</f>
        <v>0</v>
      </c>
      <c r="E41" s="200">
        <f>'Pre- and Production'!AD197</f>
        <v>0</v>
      </c>
      <c r="F41" s="200">
        <f>'Pre- and Production'!AE197</f>
        <v>0</v>
      </c>
      <c r="G41" s="200">
        <f>'Pre- and Production'!AF197</f>
        <v>0</v>
      </c>
      <c r="H41" s="54">
        <f>'Pre- and Production'!AG197</f>
        <v>0</v>
      </c>
      <c r="I41" s="201"/>
      <c r="J41" s="197"/>
      <c r="K41" s="197"/>
      <c r="L41" s="198" t="str">
        <f>'Pre- and Production'!AK197</f>
        <v>LANL</v>
      </c>
      <c r="M41" s="199">
        <f>'Pre- and Production'!AL197</f>
        <v>0</v>
      </c>
      <c r="N41" s="200">
        <f>'Pre- and Production'!AM197</f>
        <v>0</v>
      </c>
      <c r="O41" s="200">
        <f>'Pre- and Production'!AN197</f>
        <v>0</v>
      </c>
      <c r="P41" s="200">
        <f>'Pre- and Production'!AO197</f>
        <v>0</v>
      </c>
      <c r="Q41" s="200">
        <f>'Pre- and Production'!AP197</f>
        <v>0</v>
      </c>
      <c r="R41" s="54">
        <f>'Pre- and Production'!AQ197</f>
        <v>0</v>
      </c>
      <c r="S41" s="201"/>
    </row>
    <row r="42" spans="2:19" ht="15">
      <c r="B42" s="198"/>
      <c r="C42" s="269" t="str">
        <f>'Pre- and Production'!AB198</f>
        <v>LBNL Cost</v>
      </c>
      <c r="D42" s="270"/>
      <c r="E42" s="270"/>
      <c r="F42" s="270"/>
      <c r="G42" s="270"/>
      <c r="H42" s="270"/>
      <c r="I42" s="271"/>
      <c r="J42" s="197"/>
      <c r="K42" s="197"/>
      <c r="L42" s="198"/>
      <c r="M42" s="269" t="str">
        <f>'Pre- and Production'!AL198</f>
        <v>LBNL Cost</v>
      </c>
      <c r="N42" s="270"/>
      <c r="O42" s="270"/>
      <c r="P42" s="270"/>
      <c r="Q42" s="270"/>
      <c r="R42" s="270"/>
      <c r="S42" s="271"/>
    </row>
    <row r="43" spans="2:19" ht="15">
      <c r="B43" s="198"/>
      <c r="C43" s="202" t="str">
        <f>'Pre- and Production'!AB199</f>
        <v>Shop Cost</v>
      </c>
      <c r="D43" s="203" t="str">
        <f>'Pre- and Production'!AC199</f>
        <v>MT Cost</v>
      </c>
      <c r="E43" s="203" t="str">
        <f>'Pre- and Production'!AD199</f>
        <v>CMM</v>
      </c>
      <c r="F43" s="203" t="str">
        <f>'Pre- and Production'!AE199</f>
        <v>Engineering</v>
      </c>
      <c r="G43" s="203" t="str">
        <f>'Pre- and Production'!AF199</f>
        <v>Design</v>
      </c>
      <c r="H43" s="205" t="str">
        <f>'Pre- and Production'!AG199</f>
        <v>M&amp;S Cost</v>
      </c>
      <c r="I43" s="204" t="str">
        <f>'Pre- and Production'!AH199</f>
        <v>Totals</v>
      </c>
      <c r="J43" s="197"/>
      <c r="K43" s="197"/>
      <c r="L43" s="198"/>
      <c r="M43" s="202" t="str">
        <f>'Pre- and Production'!AL199</f>
        <v>Shop Cost</v>
      </c>
      <c r="N43" s="203" t="str">
        <f>'Pre- and Production'!AM199</f>
        <v>MT Cost</v>
      </c>
      <c r="O43" s="203" t="str">
        <f>'Pre- and Production'!AN199</f>
        <v>CMM</v>
      </c>
      <c r="P43" s="203" t="str">
        <f>'Pre- and Production'!AO199</f>
        <v>Engineering</v>
      </c>
      <c r="Q43" s="203" t="str">
        <f>'Pre- and Production'!AP199</f>
        <v>Design</v>
      </c>
      <c r="R43" s="205" t="str">
        <f>'Pre- and Production'!AQ199</f>
        <v>M&amp;S Cost</v>
      </c>
      <c r="S43" s="204" t="str">
        <f>'Pre- and Production'!AR199</f>
        <v>Totals</v>
      </c>
    </row>
    <row r="44" spans="2:19">
      <c r="B44" s="198">
        <f>'Pre- and Production'!AA200</f>
        <v>2008</v>
      </c>
      <c r="C44" s="56">
        <f>'Pre- and Production'!AB200</f>
        <v>0</v>
      </c>
      <c r="D44" s="54">
        <f>'Pre- and Production'!AC200</f>
        <v>0</v>
      </c>
      <c r="E44" s="54">
        <f>'Pre- and Production'!AD200</f>
        <v>0</v>
      </c>
      <c r="F44" s="54">
        <f>'Pre- and Production'!AE200</f>
        <v>0</v>
      </c>
      <c r="G44" s="54">
        <f>'Pre- and Production'!AF200</f>
        <v>0</v>
      </c>
      <c r="H44" s="54">
        <f>'Pre- and Production'!AG200</f>
        <v>0</v>
      </c>
      <c r="I44" s="57">
        <f>'Pre- and Production'!AH200</f>
        <v>0</v>
      </c>
      <c r="J44" s="197"/>
      <c r="K44" s="197"/>
      <c r="L44" s="198">
        <f>'Pre- and Production'!AK200</f>
        <v>2008</v>
      </c>
      <c r="M44" s="56">
        <f>'Pre- and Production'!AL200</f>
        <v>0</v>
      </c>
      <c r="N44" s="54">
        <f>'Pre- and Production'!AM200</f>
        <v>0</v>
      </c>
      <c r="O44" s="54">
        <f>'Pre- and Production'!AN200</f>
        <v>0</v>
      </c>
      <c r="P44" s="54">
        <f>'Pre- and Production'!AO200</f>
        <v>0</v>
      </c>
      <c r="Q44" s="54">
        <f>'Pre- and Production'!AP200</f>
        <v>0</v>
      </c>
      <c r="R44" s="54">
        <f>'Pre- and Production'!AQ200</f>
        <v>0</v>
      </c>
      <c r="S44" s="57">
        <f>'Pre- and Production'!AR200</f>
        <v>0</v>
      </c>
    </row>
    <row r="45" spans="2:19">
      <c r="B45" s="198">
        <f>'Pre- and Production'!AA201</f>
        <v>2009</v>
      </c>
      <c r="C45" s="56">
        <f>'Pre- and Production'!AB201</f>
        <v>63500</v>
      </c>
      <c r="D45" s="54">
        <f>'Pre- and Production'!AC201</f>
        <v>73476</v>
      </c>
      <c r="E45" s="54">
        <f>'Pre- and Production'!AD201</f>
        <v>11684</v>
      </c>
      <c r="F45" s="54">
        <f>'Pre- and Production'!AE201</f>
        <v>62400</v>
      </c>
      <c r="G45" s="54">
        <f>'Pre- and Production'!AF201</f>
        <v>0</v>
      </c>
      <c r="H45" s="54">
        <f>'Pre- and Production'!AG201</f>
        <v>43492.5</v>
      </c>
      <c r="I45" s="57">
        <f>'Pre- and Production'!AH201</f>
        <v>254552.5</v>
      </c>
      <c r="J45" s="197"/>
      <c r="K45" s="197"/>
      <c r="L45" s="198">
        <f>'Pre- and Production'!AK201</f>
        <v>2009</v>
      </c>
      <c r="M45" s="56">
        <f>'Pre- and Production'!AL201</f>
        <v>9144</v>
      </c>
      <c r="N45" s="54">
        <f>'Pre- and Production'!AM201</f>
        <v>23049</v>
      </c>
      <c r="O45" s="54">
        <f>'Pre- and Production'!AN201</f>
        <v>14224</v>
      </c>
      <c r="P45" s="54">
        <f>'Pre- and Production'!AO201</f>
        <v>13800</v>
      </c>
      <c r="Q45" s="54">
        <f>'Pre- and Production'!AP201</f>
        <v>0</v>
      </c>
      <c r="R45" s="54">
        <f>'Pre- and Production'!AQ201</f>
        <v>6425</v>
      </c>
      <c r="S45" s="57">
        <f>'Pre- and Production'!AR201</f>
        <v>66642</v>
      </c>
    </row>
    <row r="46" spans="2:19" ht="13.5" thickBot="1">
      <c r="B46" s="198">
        <f>'Pre- and Production'!AA202</f>
        <v>2010</v>
      </c>
      <c r="C46" s="58">
        <f>'Pre- and Production'!AB202</f>
        <v>0</v>
      </c>
      <c r="D46" s="59">
        <f>'Pre- and Production'!AC202</f>
        <v>0</v>
      </c>
      <c r="E46" s="59">
        <f>'Pre- and Production'!AD202</f>
        <v>0</v>
      </c>
      <c r="F46" s="59">
        <f>'Pre- and Production'!AE202</f>
        <v>0</v>
      </c>
      <c r="G46" s="59">
        <f>'Pre- and Production'!AF202</f>
        <v>0</v>
      </c>
      <c r="H46" s="59">
        <f>'Pre- and Production'!AG202</f>
        <v>0</v>
      </c>
      <c r="I46" s="60">
        <f>'Pre- and Production'!AH202</f>
        <v>0</v>
      </c>
      <c r="J46" s="197"/>
      <c r="K46" s="197"/>
      <c r="L46" s="198">
        <f>'Pre- and Production'!AK202</f>
        <v>2010</v>
      </c>
      <c r="M46" s="58">
        <f>'Pre- and Production'!AL202</f>
        <v>0</v>
      </c>
      <c r="N46" s="59">
        <f>'Pre- and Production'!AM202</f>
        <v>0</v>
      </c>
      <c r="O46" s="59">
        <f>'Pre- and Production'!AN202</f>
        <v>0</v>
      </c>
      <c r="P46" s="59">
        <f>'Pre- and Production'!AO202</f>
        <v>0</v>
      </c>
      <c r="Q46" s="59">
        <f>'Pre- and Production'!AP202</f>
        <v>0</v>
      </c>
      <c r="R46" s="59">
        <f>'Pre- and Production'!AQ202</f>
        <v>0</v>
      </c>
      <c r="S46" s="60">
        <f>'Pre- and Production'!AR202</f>
        <v>0</v>
      </c>
    </row>
    <row r="47" spans="2:19" ht="13.5" thickTop="1">
      <c r="B47" s="198"/>
      <c r="C47" s="197"/>
      <c r="D47" s="197"/>
      <c r="E47" s="197"/>
      <c r="F47" s="197"/>
      <c r="G47" s="197"/>
      <c r="H47" s="41" t="str">
        <f>'Pre- and Production'!AG203</f>
        <v>Base Cost</v>
      </c>
      <c r="I47" s="31">
        <f>'Pre- and Production'!AH203</f>
        <v>254552.5</v>
      </c>
      <c r="J47" s="197"/>
      <c r="K47" s="197"/>
      <c r="L47" s="198"/>
      <c r="M47" s="197"/>
      <c r="N47" s="197"/>
      <c r="O47" s="197"/>
      <c r="P47" s="197"/>
      <c r="Q47" s="197"/>
      <c r="R47" s="41" t="str">
        <f>'Pre- and Production'!AQ203</f>
        <v>Contingency</v>
      </c>
      <c r="S47" s="31">
        <f>'Pre- and Production'!AR203</f>
        <v>66642</v>
      </c>
    </row>
    <row r="48" spans="2:19">
      <c r="B48" s="198"/>
      <c r="C48" s="197"/>
      <c r="D48" s="197"/>
      <c r="E48" s="197"/>
      <c r="F48" s="197"/>
      <c r="G48" s="197"/>
      <c r="I48" s="197"/>
      <c r="J48" s="197"/>
      <c r="K48" s="197"/>
      <c r="L48" s="198"/>
      <c r="M48" s="197"/>
      <c r="N48" s="197"/>
      <c r="O48" s="197"/>
      <c r="P48" s="197"/>
      <c r="Q48" s="197"/>
      <c r="R48" s="41" t="str">
        <f>'Pre- and Production'!AQ204</f>
        <v>Percent</v>
      </c>
      <c r="S48" s="195">
        <f>'Pre- and Production'!AR204</f>
        <v>0.26180061087594897</v>
      </c>
    </row>
  </sheetData>
  <mergeCells count="12">
    <mergeCell ref="C42:I42"/>
    <mergeCell ref="M42:S42"/>
    <mergeCell ref="C5:I5"/>
    <mergeCell ref="M5:S5"/>
    <mergeCell ref="C12:I12"/>
    <mergeCell ref="M12:S12"/>
    <mergeCell ref="C20:I20"/>
    <mergeCell ref="C35:I35"/>
    <mergeCell ref="M35:S35"/>
    <mergeCell ref="M20:S20"/>
    <mergeCell ref="C27:I27"/>
    <mergeCell ref="M27:S27"/>
  </mergeCells>
  <pageMargins left="0.49" right="0.46" top="1.1000000000000001" bottom="0.75" header="0.3" footer="0.3"/>
  <pageSetup paperSize="9" scale="79" orientation="landscape" horizontalDpi="4294967293" r:id="rId1"/>
  <headerFooter>
    <oddHeader>&amp;C&amp;16PHENIX STAVE COST SUMMARY</oddHeader>
    <oddFooter>&amp;LReleased 9-Nov 2007&amp;C&amp;F&amp;RE Anderssen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W205"/>
  <sheetViews>
    <sheetView tabSelected="1" zoomScaleNormal="100" workbookViewId="0">
      <pane ySplit="3255" activePane="bottomLeft"/>
      <selection activeCell="T1" sqref="T1:T1048576"/>
      <selection pane="bottomLeft" activeCell="V14" sqref="V14"/>
    </sheetView>
  </sheetViews>
  <sheetFormatPr defaultRowHeight="12.75"/>
  <cols>
    <col min="1" max="1" width="49.28515625" bestFit="1" customWidth="1"/>
    <col min="2" max="2" width="16.7109375" bestFit="1" customWidth="1"/>
    <col min="3" max="3" width="6" bestFit="1" customWidth="1"/>
    <col min="4" max="4" width="9.42578125" bestFit="1" customWidth="1"/>
    <col min="5" max="5" width="7.5703125" style="31" bestFit="1" customWidth="1"/>
    <col min="6" max="6" width="8" style="31" bestFit="1" customWidth="1"/>
    <col min="7" max="8" width="5.7109375" style="132" bestFit="1" customWidth="1"/>
    <col min="9" max="9" width="4.5703125" style="132" bestFit="1" customWidth="1"/>
    <col min="10" max="10" width="5.7109375" style="133" bestFit="1" customWidth="1"/>
    <col min="11" max="11" width="4.5703125" style="133" bestFit="1" customWidth="1"/>
    <col min="12" max="12" width="6.28515625" bestFit="1" customWidth="1"/>
    <col min="13" max="13" width="8.7109375" bestFit="1" customWidth="1"/>
    <col min="14" max="14" width="4.85546875" style="26" customWidth="1"/>
    <col min="15" max="15" width="10.7109375" customWidth="1"/>
    <col min="16" max="16" width="2.5703125" customWidth="1"/>
    <col min="17" max="17" width="3.7109375" style="110" bestFit="1" customWidth="1"/>
    <col min="18" max="18" width="3.7109375" style="110" customWidth="1"/>
    <col min="19" max="19" width="9.5703125" style="190" customWidth="1"/>
    <col min="20" max="20" width="10.42578125" style="190" bestFit="1" customWidth="1"/>
    <col min="21" max="21" width="9.5703125" style="190" customWidth="1"/>
    <col min="22" max="22" width="14.5703125" style="13" customWidth="1"/>
    <col min="23" max="23" width="12.140625" style="16" customWidth="1"/>
    <col min="24" max="24" width="14.42578125" style="16" customWidth="1"/>
    <col min="25" max="25" width="17.7109375" style="16" customWidth="1"/>
    <col min="26" max="26" width="12.5703125" style="16" customWidth="1"/>
    <col min="27" max="27" width="6.7109375" style="44" bestFit="1" customWidth="1"/>
    <col min="28" max="28" width="10.7109375" bestFit="1" customWidth="1"/>
    <col min="29" max="29" width="9.140625" bestFit="1" customWidth="1"/>
    <col min="30" max="30" width="7.5703125" bestFit="1" customWidth="1"/>
    <col min="31" max="31" width="11.85546875" bestFit="1" customWidth="1"/>
    <col min="32" max="32" width="7.5703125" bestFit="1" customWidth="1"/>
    <col min="33" max="33" width="11.7109375" customWidth="1"/>
    <col min="34" max="34" width="10.85546875" bestFit="1" customWidth="1"/>
    <col min="35" max="35" width="10.42578125" customWidth="1"/>
    <col min="36" max="36" width="10.42578125" hidden="1" customWidth="1"/>
    <col min="37" max="37" width="11.28515625" style="31" bestFit="1" customWidth="1"/>
    <col min="38" max="38" width="10.7109375" bestFit="1" customWidth="1"/>
    <col min="39" max="39" width="9.140625" bestFit="1" customWidth="1"/>
    <col min="40" max="40" width="7.5703125" bestFit="1" customWidth="1"/>
    <col min="41" max="41" width="11.85546875" bestFit="1" customWidth="1"/>
    <col min="42" max="42" width="7.5703125" bestFit="1" customWidth="1"/>
    <col min="43" max="43" width="12.85546875" bestFit="1" customWidth="1"/>
    <col min="44" max="44" width="10.85546875" bestFit="1" customWidth="1"/>
  </cols>
  <sheetData>
    <row r="2" spans="1:44" ht="18">
      <c r="A2" s="14" t="s">
        <v>182</v>
      </c>
      <c r="Q2" s="284" t="s">
        <v>93</v>
      </c>
      <c r="R2" s="285"/>
      <c r="S2" s="285"/>
      <c r="T2" s="285"/>
      <c r="U2" s="285"/>
      <c r="V2" s="285"/>
      <c r="W2" s="285"/>
      <c r="X2" s="285"/>
      <c r="Y2" s="285"/>
      <c r="Z2" s="285"/>
      <c r="AA2" s="286"/>
      <c r="AB2" s="287" t="s">
        <v>50</v>
      </c>
      <c r="AC2" s="288"/>
      <c r="AD2" s="288"/>
      <c r="AE2" s="288"/>
      <c r="AF2" s="288"/>
      <c r="AG2" s="288"/>
      <c r="AH2" s="289"/>
      <c r="AI2" s="47"/>
      <c r="AJ2" s="47"/>
      <c r="AL2" s="287" t="s">
        <v>51</v>
      </c>
      <c r="AM2" s="288"/>
      <c r="AN2" s="288"/>
      <c r="AO2" s="288"/>
      <c r="AP2" s="288"/>
      <c r="AQ2" s="288"/>
      <c r="AR2" s="289"/>
    </row>
    <row r="3" spans="1:44" ht="118.9" customHeight="1">
      <c r="A3" s="1" t="s">
        <v>0</v>
      </c>
      <c r="B3" s="1" t="s">
        <v>6</v>
      </c>
      <c r="C3" s="19" t="s">
        <v>1</v>
      </c>
      <c r="D3" s="1" t="s">
        <v>2</v>
      </c>
      <c r="E3" s="119" t="s">
        <v>4</v>
      </c>
      <c r="F3" s="127" t="s">
        <v>3</v>
      </c>
      <c r="G3" s="134" t="s">
        <v>11</v>
      </c>
      <c r="H3" s="134" t="s">
        <v>10</v>
      </c>
      <c r="I3" s="134" t="s">
        <v>38</v>
      </c>
      <c r="J3" s="135" t="s">
        <v>29</v>
      </c>
      <c r="K3" s="135" t="s">
        <v>30</v>
      </c>
      <c r="L3" s="1" t="s">
        <v>2</v>
      </c>
      <c r="M3" s="111" t="s">
        <v>73</v>
      </c>
      <c r="N3" s="27" t="s">
        <v>41</v>
      </c>
      <c r="O3" s="173" t="s">
        <v>111</v>
      </c>
      <c r="P3" s="12"/>
      <c r="Q3" s="94" t="s">
        <v>42</v>
      </c>
      <c r="R3" s="177" t="s">
        <v>90</v>
      </c>
      <c r="S3" s="191" t="s">
        <v>92</v>
      </c>
      <c r="T3" s="191" t="s">
        <v>92</v>
      </c>
      <c r="U3" s="267" t="s">
        <v>317</v>
      </c>
      <c r="V3" s="95" t="s">
        <v>318</v>
      </c>
      <c r="W3" s="96" t="s">
        <v>35</v>
      </c>
      <c r="X3" s="96" t="s">
        <v>89</v>
      </c>
      <c r="Y3" s="96" t="s">
        <v>36</v>
      </c>
      <c r="Z3" s="96" t="s">
        <v>37</v>
      </c>
      <c r="AA3" s="97" t="s">
        <v>47</v>
      </c>
      <c r="AB3" s="98" t="s">
        <v>14</v>
      </c>
      <c r="AC3" s="99" t="s">
        <v>15</v>
      </c>
      <c r="AD3" s="99" t="s">
        <v>38</v>
      </c>
      <c r="AE3" s="99" t="s">
        <v>31</v>
      </c>
      <c r="AF3" s="99" t="s">
        <v>32</v>
      </c>
      <c r="AG3" s="99" t="s">
        <v>75</v>
      </c>
      <c r="AH3" s="100" t="s">
        <v>12</v>
      </c>
      <c r="AI3" s="20"/>
      <c r="AJ3" s="20"/>
      <c r="AL3" s="98" t="s">
        <v>14</v>
      </c>
      <c r="AM3" s="99" t="s">
        <v>15</v>
      </c>
      <c r="AN3" s="99" t="s">
        <v>38</v>
      </c>
      <c r="AO3" s="99" t="s">
        <v>31</v>
      </c>
      <c r="AP3" s="99" t="s">
        <v>32</v>
      </c>
      <c r="AQ3" s="99" t="s">
        <v>75</v>
      </c>
      <c r="AR3" s="100" t="s">
        <v>12</v>
      </c>
    </row>
    <row r="4" spans="1:44" ht="15.75">
      <c r="A4" s="104" t="s">
        <v>59</v>
      </c>
      <c r="B4" s="2" t="s">
        <v>5</v>
      </c>
      <c r="C4" s="2"/>
      <c r="D4" s="2"/>
      <c r="E4" s="3"/>
      <c r="F4" s="128"/>
      <c r="G4" s="136"/>
      <c r="H4" s="136"/>
      <c r="I4" s="136"/>
      <c r="J4" s="137"/>
      <c r="K4" s="138"/>
      <c r="L4" s="2"/>
      <c r="M4" s="2"/>
      <c r="N4" s="15"/>
      <c r="O4" s="2"/>
      <c r="P4" s="2"/>
      <c r="Q4" s="107"/>
      <c r="R4" s="178"/>
      <c r="S4" s="185"/>
      <c r="T4" s="185"/>
      <c r="U4" s="185"/>
      <c r="V4" s="71"/>
      <c r="W4" s="71"/>
      <c r="X4" s="71"/>
      <c r="Y4" s="71"/>
      <c r="Z4" s="176" t="s">
        <v>88</v>
      </c>
      <c r="AA4" s="89"/>
      <c r="AB4" s="71"/>
      <c r="AC4" s="71"/>
      <c r="AD4" s="71"/>
      <c r="AE4" s="71"/>
      <c r="AF4" s="71"/>
      <c r="AG4" s="71"/>
      <c r="AH4" s="72"/>
      <c r="AL4" s="79"/>
      <c r="AM4" s="71"/>
      <c r="AN4" s="71"/>
      <c r="AO4" s="71"/>
      <c r="AP4" s="71"/>
      <c r="AQ4" s="71"/>
      <c r="AR4" s="72"/>
    </row>
    <row r="5" spans="1:44">
      <c r="A5" s="103" t="s">
        <v>108</v>
      </c>
      <c r="B5" s="40" t="s">
        <v>63</v>
      </c>
      <c r="C5">
        <v>1</v>
      </c>
      <c r="D5" s="40" t="s">
        <v>64</v>
      </c>
      <c r="E5" s="31">
        <v>10000</v>
      </c>
      <c r="F5" s="128">
        <f t="shared" ref="F5:F8" si="0">E5*C5</f>
        <v>10000</v>
      </c>
      <c r="G5" s="139">
        <v>0</v>
      </c>
      <c r="H5" s="139">
        <v>0</v>
      </c>
      <c r="I5" s="139">
        <v>0</v>
      </c>
      <c r="J5" s="139">
        <v>2</v>
      </c>
      <c r="K5" s="140">
        <v>0</v>
      </c>
      <c r="L5" t="s">
        <v>8</v>
      </c>
      <c r="M5" s="31">
        <f t="shared" ref="M5:M8" si="1">((Shop*G5)+(M_Tech*H5)+(CMM*I5)+(ENG*J5)+(DES*K5))*N5</f>
        <v>0</v>
      </c>
      <c r="N5" s="242">
        <v>0</v>
      </c>
      <c r="O5" s="41">
        <f t="shared" ref="O5:O8" si="2">M5+(N5*F5)</f>
        <v>0</v>
      </c>
      <c r="P5" s="41"/>
      <c r="Q5" s="108" t="s">
        <v>48</v>
      </c>
      <c r="R5" s="179" t="s">
        <v>91</v>
      </c>
      <c r="S5" s="186" t="str">
        <f>CONCATENATE(Q5,R5,AA5)</f>
        <v>BPD2009</v>
      </c>
      <c r="T5" s="186" t="str">
        <f>CONCATENATE(Q5,U5,AA5)</f>
        <v>B4.2.42009</v>
      </c>
      <c r="U5" s="186" t="s">
        <v>319</v>
      </c>
      <c r="V5" s="2"/>
      <c r="W5" s="2"/>
      <c r="X5" s="2"/>
      <c r="Y5" s="2"/>
      <c r="Z5" s="2"/>
      <c r="AA5" s="85">
        <v>2009</v>
      </c>
      <c r="AB5" s="2">
        <f t="shared" ref="AB5:AB18" si="3">IF($Q5="B", (G5*$N5),0)</f>
        <v>0</v>
      </c>
      <c r="AC5" s="2">
        <f t="shared" ref="AC5:AC18" si="4">IF($Q5="B", (H5*$N5),0)</f>
        <v>0</v>
      </c>
      <c r="AD5" s="2">
        <f t="shared" ref="AD5:AD18" si="5">IF($Q5="B", (I5*$N5),0)</f>
        <v>0</v>
      </c>
      <c r="AE5" s="2">
        <f t="shared" ref="AE5:AE18" si="6">IF($Q5="B", (J5*$N5),0)</f>
        <v>0</v>
      </c>
      <c r="AF5" s="2">
        <f t="shared" ref="AF5:AF18" si="7">IF($Q5="B", (K5*$N5),0)</f>
        <v>0</v>
      </c>
      <c r="AG5" s="3">
        <f t="shared" ref="AG5:AG8" si="8">IF($Q5="B", (F5*$N5),0)</f>
        <v>0</v>
      </c>
      <c r="AH5" s="73"/>
      <c r="AL5" s="80">
        <f t="shared" ref="AL5:AL18" si="9">IF($Q5="C", (G5*$N5),0)</f>
        <v>0</v>
      </c>
      <c r="AM5" s="10">
        <f t="shared" ref="AM5:AM18" si="10">IF($Q5="C", (H5*$N5),0)</f>
        <v>0</v>
      </c>
      <c r="AN5" s="10">
        <f t="shared" ref="AN5:AN18" si="11">IF($Q5="C", (I5*$N5),0)</f>
        <v>0</v>
      </c>
      <c r="AO5" s="10">
        <f t="shared" ref="AO5:AO18" si="12">IF($Q5="C", (J5*$N5),0)</f>
        <v>0</v>
      </c>
      <c r="AP5" s="10">
        <f t="shared" ref="AP5:AP18" si="13">IF($Q5="C", (K5*$N5),0)</f>
        <v>0</v>
      </c>
      <c r="AQ5" s="2">
        <f t="shared" ref="AQ5:AQ8" si="14">IF($Q5="C", (F5*$N5),0)</f>
        <v>0</v>
      </c>
      <c r="AR5" s="73"/>
    </row>
    <row r="6" spans="1:44">
      <c r="A6" s="102" t="s">
        <v>60</v>
      </c>
      <c r="B6" s="40" t="s">
        <v>9</v>
      </c>
      <c r="C6">
        <v>0</v>
      </c>
      <c r="D6" s="40" t="s">
        <v>9</v>
      </c>
      <c r="E6" s="31">
        <v>0</v>
      </c>
      <c r="F6" s="128">
        <f t="shared" si="0"/>
        <v>0</v>
      </c>
      <c r="G6" s="139">
        <v>0</v>
      </c>
      <c r="H6" s="139">
        <v>2</v>
      </c>
      <c r="I6" s="139">
        <v>0</v>
      </c>
      <c r="J6" s="139">
        <v>2</v>
      </c>
      <c r="K6" s="140">
        <v>0</v>
      </c>
      <c r="L6" t="s">
        <v>8</v>
      </c>
      <c r="M6" s="31">
        <f t="shared" si="1"/>
        <v>0</v>
      </c>
      <c r="N6" s="242">
        <v>0</v>
      </c>
      <c r="O6" s="41">
        <f t="shared" si="2"/>
        <v>0</v>
      </c>
      <c r="P6" s="41"/>
      <c r="Q6" s="108" t="s">
        <v>48</v>
      </c>
      <c r="R6" s="179" t="s">
        <v>91</v>
      </c>
      <c r="S6" s="186" t="str">
        <f t="shared" ref="S6:S18" si="15">CONCATENATE(Q6,R6,AA6)</f>
        <v>BPD2009</v>
      </c>
      <c r="T6" s="186" t="str">
        <f t="shared" ref="T6:T18" si="16">CONCATENATE(Q6,U6,AA6)</f>
        <v>B4.2.42009</v>
      </c>
      <c r="U6" s="186" t="s">
        <v>319</v>
      </c>
      <c r="V6"/>
      <c r="W6"/>
      <c r="X6"/>
      <c r="Y6"/>
      <c r="Z6"/>
      <c r="AA6" s="85">
        <v>2009</v>
      </c>
      <c r="AB6" s="2">
        <f t="shared" si="3"/>
        <v>0</v>
      </c>
      <c r="AC6" s="2">
        <f t="shared" si="4"/>
        <v>0</v>
      </c>
      <c r="AD6" s="2">
        <f t="shared" si="5"/>
        <v>0</v>
      </c>
      <c r="AE6" s="2">
        <f t="shared" si="6"/>
        <v>0</v>
      </c>
      <c r="AF6" s="2">
        <f t="shared" si="7"/>
        <v>0</v>
      </c>
      <c r="AG6" s="3">
        <f t="shared" si="8"/>
        <v>0</v>
      </c>
      <c r="AH6" s="73"/>
      <c r="AL6" s="80">
        <f t="shared" si="9"/>
        <v>0</v>
      </c>
      <c r="AM6" s="10">
        <f t="shared" si="10"/>
        <v>0</v>
      </c>
      <c r="AN6" s="10">
        <f t="shared" si="11"/>
        <v>0</v>
      </c>
      <c r="AO6" s="10">
        <f t="shared" si="12"/>
        <v>0</v>
      </c>
      <c r="AP6" s="10">
        <f t="shared" si="13"/>
        <v>0</v>
      </c>
      <c r="AQ6" s="2">
        <f t="shared" si="14"/>
        <v>0</v>
      </c>
      <c r="AR6" s="73"/>
    </row>
    <row r="7" spans="1:44" s="38" customFormat="1">
      <c r="A7" s="102" t="s">
        <v>61</v>
      </c>
      <c r="B7" s="40" t="s">
        <v>65</v>
      </c>
      <c r="C7">
        <v>0.5</v>
      </c>
      <c r="D7" s="40" t="s">
        <v>66</v>
      </c>
      <c r="E7" s="31">
        <v>55</v>
      </c>
      <c r="F7" s="128">
        <f t="shared" si="0"/>
        <v>27.5</v>
      </c>
      <c r="G7" s="139">
        <v>0</v>
      </c>
      <c r="H7" s="139">
        <v>8</v>
      </c>
      <c r="I7" s="139">
        <v>0</v>
      </c>
      <c r="J7" s="139">
        <v>1</v>
      </c>
      <c r="K7" s="140">
        <v>0</v>
      </c>
      <c r="L7" t="s">
        <v>8</v>
      </c>
      <c r="M7" s="31">
        <f t="shared" si="1"/>
        <v>0</v>
      </c>
      <c r="N7" s="242">
        <v>0</v>
      </c>
      <c r="O7" s="41">
        <f t="shared" si="2"/>
        <v>0</v>
      </c>
      <c r="P7" s="41"/>
      <c r="Q7" s="108" t="s">
        <v>48</v>
      </c>
      <c r="R7" s="179" t="s">
        <v>91</v>
      </c>
      <c r="S7" s="186" t="str">
        <f t="shared" si="15"/>
        <v>BPD2009</v>
      </c>
      <c r="T7" s="186" t="str">
        <f t="shared" si="16"/>
        <v>B4.2.42009</v>
      </c>
      <c r="U7" s="186" t="s">
        <v>319</v>
      </c>
      <c r="V7"/>
      <c r="W7"/>
      <c r="X7"/>
      <c r="Y7"/>
      <c r="Z7"/>
      <c r="AA7" s="85">
        <v>2009</v>
      </c>
      <c r="AB7" s="2">
        <f t="shared" si="3"/>
        <v>0</v>
      </c>
      <c r="AC7" s="2">
        <f t="shared" si="4"/>
        <v>0</v>
      </c>
      <c r="AD7" s="2">
        <f t="shared" si="5"/>
        <v>0</v>
      </c>
      <c r="AE7" s="2">
        <f t="shared" si="6"/>
        <v>0</v>
      </c>
      <c r="AF7" s="2">
        <f t="shared" si="7"/>
        <v>0</v>
      </c>
      <c r="AG7" s="3">
        <f t="shared" si="8"/>
        <v>0</v>
      </c>
      <c r="AH7" s="73"/>
      <c r="AI7"/>
      <c r="AJ7"/>
      <c r="AK7" s="31"/>
      <c r="AL7" s="80">
        <f t="shared" si="9"/>
        <v>0</v>
      </c>
      <c r="AM7" s="10">
        <f t="shared" si="10"/>
        <v>0</v>
      </c>
      <c r="AN7" s="10">
        <f t="shared" si="11"/>
        <v>0</v>
      </c>
      <c r="AO7" s="10">
        <f t="shared" si="12"/>
        <v>0</v>
      </c>
      <c r="AP7" s="10">
        <f t="shared" si="13"/>
        <v>0</v>
      </c>
      <c r="AQ7" s="2">
        <f t="shared" si="14"/>
        <v>0</v>
      </c>
      <c r="AR7" s="39"/>
    </row>
    <row r="8" spans="1:44">
      <c r="A8" s="102" t="s">
        <v>70</v>
      </c>
      <c r="B8" s="40" t="s">
        <v>9</v>
      </c>
      <c r="C8">
        <v>1</v>
      </c>
      <c r="D8" s="40" t="s">
        <v>64</v>
      </c>
      <c r="E8" s="31">
        <v>1500</v>
      </c>
      <c r="F8" s="128">
        <f t="shared" si="0"/>
        <v>1500</v>
      </c>
      <c r="G8" s="139">
        <v>0</v>
      </c>
      <c r="H8" s="139">
        <v>0</v>
      </c>
      <c r="I8" s="139">
        <v>0</v>
      </c>
      <c r="J8" s="139">
        <v>2</v>
      </c>
      <c r="K8" s="140">
        <v>0</v>
      </c>
      <c r="L8" t="s">
        <v>8</v>
      </c>
      <c r="M8" s="31">
        <f t="shared" si="1"/>
        <v>0</v>
      </c>
      <c r="N8" s="242">
        <v>0</v>
      </c>
      <c r="O8" s="41">
        <f t="shared" si="2"/>
        <v>0</v>
      </c>
      <c r="P8" s="41"/>
      <c r="Q8" s="108" t="s">
        <v>48</v>
      </c>
      <c r="R8" s="179" t="s">
        <v>91</v>
      </c>
      <c r="S8" s="186" t="str">
        <f t="shared" si="15"/>
        <v>BPD2009</v>
      </c>
      <c r="T8" s="186" t="str">
        <f t="shared" si="16"/>
        <v>B4.2.42009</v>
      </c>
      <c r="U8" s="186" t="s">
        <v>319</v>
      </c>
      <c r="V8"/>
      <c r="W8"/>
      <c r="X8"/>
      <c r="Y8"/>
      <c r="Z8"/>
      <c r="AA8" s="85">
        <v>2009</v>
      </c>
      <c r="AB8" s="2">
        <f t="shared" si="3"/>
        <v>0</v>
      </c>
      <c r="AC8" s="2">
        <f t="shared" si="4"/>
        <v>0</v>
      </c>
      <c r="AD8" s="2">
        <f t="shared" si="5"/>
        <v>0</v>
      </c>
      <c r="AE8" s="2">
        <f t="shared" si="6"/>
        <v>0</v>
      </c>
      <c r="AF8" s="2">
        <f t="shared" si="7"/>
        <v>0</v>
      </c>
      <c r="AG8" s="3">
        <f t="shared" si="8"/>
        <v>0</v>
      </c>
      <c r="AH8" s="73"/>
      <c r="AL8" s="80">
        <f t="shared" si="9"/>
        <v>0</v>
      </c>
      <c r="AM8" s="10">
        <f t="shared" si="10"/>
        <v>0</v>
      </c>
      <c r="AN8" s="10">
        <f t="shared" si="11"/>
        <v>0</v>
      </c>
      <c r="AO8" s="10">
        <f t="shared" si="12"/>
        <v>0</v>
      </c>
      <c r="AP8" s="10">
        <f t="shared" si="13"/>
        <v>0</v>
      </c>
      <c r="AQ8" s="2">
        <f t="shared" si="14"/>
        <v>0</v>
      </c>
      <c r="AR8" s="73"/>
    </row>
    <row r="9" spans="1:44">
      <c r="A9" s="103" t="s">
        <v>109</v>
      </c>
      <c r="B9" s="40" t="s">
        <v>110</v>
      </c>
      <c r="C9">
        <v>1</v>
      </c>
      <c r="D9" s="40" t="s">
        <v>64</v>
      </c>
      <c r="E9" s="31">
        <v>21000</v>
      </c>
      <c r="F9" s="128">
        <f t="shared" ref="F9:F17" si="17">E9*C9</f>
        <v>21000</v>
      </c>
      <c r="G9" s="139">
        <v>0</v>
      </c>
      <c r="H9" s="139">
        <v>0</v>
      </c>
      <c r="I9" s="139">
        <v>0</v>
      </c>
      <c r="J9" s="243">
        <v>8</v>
      </c>
      <c r="K9" s="140">
        <v>0</v>
      </c>
      <c r="L9" t="s">
        <v>8</v>
      </c>
      <c r="M9" s="31">
        <f t="shared" ref="M9:M14" si="18">((Shop*G9)+(M_Tech*H9)+(CMM*I9)+(ENG*J9)+(DES*K9))*N9</f>
        <v>1200</v>
      </c>
      <c r="N9">
        <v>1</v>
      </c>
      <c r="O9" s="41">
        <f t="shared" ref="O9:O14" si="19">M9+(N9*F9)</f>
        <v>22200</v>
      </c>
      <c r="P9" s="41"/>
      <c r="Q9" s="108" t="s">
        <v>48</v>
      </c>
      <c r="R9" s="179" t="s">
        <v>91</v>
      </c>
      <c r="S9" s="186" t="str">
        <f t="shared" si="15"/>
        <v>BPD2009</v>
      </c>
      <c r="T9" s="186" t="str">
        <f t="shared" si="16"/>
        <v>B5.2.42009</v>
      </c>
      <c r="U9" s="186" t="s">
        <v>320</v>
      </c>
      <c r="V9"/>
      <c r="W9"/>
      <c r="X9"/>
      <c r="Y9"/>
      <c r="Z9"/>
      <c r="AA9" s="85">
        <v>2009</v>
      </c>
      <c r="AB9" s="2">
        <f t="shared" si="3"/>
        <v>0</v>
      </c>
      <c r="AC9" s="2">
        <f t="shared" si="4"/>
        <v>0</v>
      </c>
      <c r="AD9" s="2">
        <f t="shared" si="5"/>
        <v>0</v>
      </c>
      <c r="AE9" s="2">
        <f t="shared" si="6"/>
        <v>8</v>
      </c>
      <c r="AF9" s="2">
        <f t="shared" si="7"/>
        <v>0</v>
      </c>
      <c r="AG9" s="3">
        <f t="shared" ref="AG9:AG14" si="20">IF($Q9="B", (F9*$N9),0)</f>
        <v>21000</v>
      </c>
      <c r="AH9" s="73"/>
      <c r="AL9" s="80">
        <f t="shared" si="9"/>
        <v>0</v>
      </c>
      <c r="AM9" s="10">
        <f t="shared" si="10"/>
        <v>0</v>
      </c>
      <c r="AN9" s="10">
        <f t="shared" si="11"/>
        <v>0</v>
      </c>
      <c r="AO9" s="10">
        <f t="shared" si="12"/>
        <v>0</v>
      </c>
      <c r="AP9" s="10">
        <f t="shared" si="13"/>
        <v>0</v>
      </c>
      <c r="AQ9" s="2">
        <f t="shared" ref="AQ9:AQ14" si="21">IF($Q9="C", (F9*$N9),0)</f>
        <v>0</v>
      </c>
      <c r="AR9" s="73"/>
    </row>
    <row r="10" spans="1:44" s="242" customFormat="1">
      <c r="A10" s="244" t="s">
        <v>301</v>
      </c>
      <c r="B10" s="242" t="s">
        <v>9</v>
      </c>
      <c r="C10" s="242">
        <v>1</v>
      </c>
      <c r="D10" s="242" t="s">
        <v>9</v>
      </c>
      <c r="E10" s="245">
        <f>0.2*E9</f>
        <v>4200</v>
      </c>
      <c r="F10" s="246">
        <f t="shared" ref="F10" si="22">E10*C10</f>
        <v>4200</v>
      </c>
      <c r="G10" s="243">
        <v>0</v>
      </c>
      <c r="H10" s="243">
        <v>0</v>
      </c>
      <c r="I10" s="243">
        <v>0</v>
      </c>
      <c r="J10" s="243">
        <v>0</v>
      </c>
      <c r="K10" s="247">
        <v>0</v>
      </c>
      <c r="L10" s="242" t="s">
        <v>8</v>
      </c>
      <c r="M10" s="245">
        <f t="shared" ref="M10" si="23">((Shop*G10)+(M_Tech*H10)+(CMM*I10)+(ENG*J10)+(DES*K10))*N10</f>
        <v>0</v>
      </c>
      <c r="N10" s="242">
        <v>1</v>
      </c>
      <c r="O10" s="248">
        <f t="shared" ref="O10" si="24">M10+(N10*F10)</f>
        <v>4200</v>
      </c>
      <c r="P10" s="248"/>
      <c r="Q10" s="249" t="s">
        <v>49</v>
      </c>
      <c r="R10" s="250" t="s">
        <v>91</v>
      </c>
      <c r="S10" s="251" t="str">
        <f t="shared" ref="S10" si="25">CONCATENATE(Q10,R10,AA10)</f>
        <v>CPD2009</v>
      </c>
      <c r="T10" s="186" t="str">
        <f t="shared" si="16"/>
        <v>C5.2.42009</v>
      </c>
      <c r="U10" s="186" t="s">
        <v>320</v>
      </c>
      <c r="AA10" s="252">
        <v>2009</v>
      </c>
      <c r="AB10" s="253">
        <f t="shared" ref="AB10" si="26">IF($Q10="B", (G10*$N10),0)</f>
        <v>0</v>
      </c>
      <c r="AC10" s="253">
        <f t="shared" ref="AC10" si="27">IF($Q10="B", (H10*$N10),0)</f>
        <v>0</v>
      </c>
      <c r="AD10" s="253">
        <f t="shared" ref="AD10" si="28">IF($Q10="B", (I10*$N10),0)</f>
        <v>0</v>
      </c>
      <c r="AE10" s="253">
        <f t="shared" ref="AE10" si="29">IF($Q10="B", (J10*$N10),0)</f>
        <v>0</v>
      </c>
      <c r="AF10" s="253">
        <f t="shared" ref="AF10" si="30">IF($Q10="B", (K10*$N10),0)</f>
        <v>0</v>
      </c>
      <c r="AG10" s="254">
        <f t="shared" ref="AG10" si="31">IF($Q10="B", (F10*$N10),0)</f>
        <v>0</v>
      </c>
      <c r="AH10" s="255"/>
      <c r="AK10" s="245"/>
      <c r="AL10" s="256">
        <f t="shared" ref="AL10" si="32">IF($Q10="C", (G10*$N10),0)</f>
        <v>0</v>
      </c>
      <c r="AM10" s="257">
        <f t="shared" ref="AM10" si="33">IF($Q10="C", (H10*$N10),0)</f>
        <v>0</v>
      </c>
      <c r="AN10" s="257">
        <f t="shared" ref="AN10" si="34">IF($Q10="C", (I10*$N10),0)</f>
        <v>0</v>
      </c>
      <c r="AO10" s="257">
        <f t="shared" ref="AO10" si="35">IF($Q10="C", (J10*$N10),0)</f>
        <v>0</v>
      </c>
      <c r="AP10" s="257">
        <f t="shared" ref="AP10" si="36">IF($Q10="C", (K10*$N10),0)</f>
        <v>0</v>
      </c>
      <c r="AQ10" s="253">
        <f t="shared" ref="AQ10" si="37">IF($Q10="C", (F10*$N10),0)</f>
        <v>4200</v>
      </c>
      <c r="AR10" s="255"/>
    </row>
    <row r="11" spans="1:44">
      <c r="A11" s="102" t="s">
        <v>60</v>
      </c>
      <c r="B11" s="40" t="s">
        <v>9</v>
      </c>
      <c r="C11">
        <v>0</v>
      </c>
      <c r="D11" s="40" t="s">
        <v>9</v>
      </c>
      <c r="E11" s="31">
        <v>0</v>
      </c>
      <c r="F11" s="128">
        <f t="shared" si="17"/>
        <v>0</v>
      </c>
      <c r="G11" s="139">
        <v>0</v>
      </c>
      <c r="H11" s="139">
        <v>2</v>
      </c>
      <c r="I11" s="139">
        <v>0</v>
      </c>
      <c r="J11" s="139">
        <v>0</v>
      </c>
      <c r="K11" s="140">
        <v>0</v>
      </c>
      <c r="L11" t="s">
        <v>8</v>
      </c>
      <c r="M11" s="31">
        <f t="shared" si="18"/>
        <v>234</v>
      </c>
      <c r="N11">
        <v>1</v>
      </c>
      <c r="O11" s="41">
        <f t="shared" si="19"/>
        <v>234</v>
      </c>
      <c r="P11" s="41"/>
      <c r="Q11" s="108" t="s">
        <v>48</v>
      </c>
      <c r="R11" s="179" t="s">
        <v>91</v>
      </c>
      <c r="S11" s="186" t="str">
        <f t="shared" si="15"/>
        <v>BPD2009</v>
      </c>
      <c r="T11" s="186" t="str">
        <f t="shared" si="16"/>
        <v>B5.2.42009</v>
      </c>
      <c r="U11" s="186" t="s">
        <v>320</v>
      </c>
      <c r="V11"/>
      <c r="W11"/>
      <c r="X11"/>
      <c r="Y11"/>
      <c r="Z11"/>
      <c r="AA11" s="85">
        <v>2009</v>
      </c>
      <c r="AB11" s="2">
        <f t="shared" si="3"/>
        <v>0</v>
      </c>
      <c r="AC11" s="2">
        <f t="shared" si="4"/>
        <v>2</v>
      </c>
      <c r="AD11" s="2">
        <f t="shared" si="5"/>
        <v>0</v>
      </c>
      <c r="AE11" s="2">
        <f t="shared" si="6"/>
        <v>0</v>
      </c>
      <c r="AF11" s="2">
        <f t="shared" si="7"/>
        <v>0</v>
      </c>
      <c r="AG11" s="3">
        <f t="shared" si="20"/>
        <v>0</v>
      </c>
      <c r="AH11" s="73"/>
      <c r="AL11" s="80">
        <f t="shared" si="9"/>
        <v>0</v>
      </c>
      <c r="AM11" s="10">
        <f t="shared" si="10"/>
        <v>0</v>
      </c>
      <c r="AN11" s="10">
        <f t="shared" si="11"/>
        <v>0</v>
      </c>
      <c r="AO11" s="10">
        <f t="shared" si="12"/>
        <v>0</v>
      </c>
      <c r="AP11" s="10">
        <f t="shared" si="13"/>
        <v>0</v>
      </c>
      <c r="AQ11" s="2">
        <f t="shared" si="21"/>
        <v>0</v>
      </c>
      <c r="AR11" s="73"/>
    </row>
    <row r="12" spans="1:44" s="38" customFormat="1">
      <c r="A12" s="102" t="s">
        <v>61</v>
      </c>
      <c r="B12" s="40" t="s">
        <v>65</v>
      </c>
      <c r="C12">
        <v>0.5</v>
      </c>
      <c r="D12" s="40" t="s">
        <v>66</v>
      </c>
      <c r="E12" s="31">
        <v>55</v>
      </c>
      <c r="F12" s="128">
        <f t="shared" si="17"/>
        <v>27.5</v>
      </c>
      <c r="G12" s="139">
        <v>0</v>
      </c>
      <c r="H12" s="139">
        <v>8</v>
      </c>
      <c r="I12" s="139">
        <v>0</v>
      </c>
      <c r="J12" s="139">
        <v>1</v>
      </c>
      <c r="K12" s="140">
        <v>0</v>
      </c>
      <c r="L12" t="s">
        <v>8</v>
      </c>
      <c r="M12" s="31">
        <f t="shared" si="18"/>
        <v>3258</v>
      </c>
      <c r="N12">
        <v>3</v>
      </c>
      <c r="O12" s="41">
        <f>M12+(N12*F12)</f>
        <v>3340.5</v>
      </c>
      <c r="P12" s="41"/>
      <c r="Q12" s="108" t="s">
        <v>48</v>
      </c>
      <c r="R12" s="179" t="s">
        <v>91</v>
      </c>
      <c r="S12" s="186" t="str">
        <f t="shared" si="15"/>
        <v>BPD2009</v>
      </c>
      <c r="T12" s="186" t="str">
        <f t="shared" si="16"/>
        <v>B5.2.42009</v>
      </c>
      <c r="U12" s="186" t="s">
        <v>320</v>
      </c>
      <c r="V12"/>
      <c r="W12"/>
      <c r="X12"/>
      <c r="Y12"/>
      <c r="Z12"/>
      <c r="AA12" s="85">
        <v>2009</v>
      </c>
      <c r="AB12" s="2">
        <f t="shared" si="3"/>
        <v>0</v>
      </c>
      <c r="AC12" s="2">
        <f t="shared" si="4"/>
        <v>24</v>
      </c>
      <c r="AD12" s="2">
        <f t="shared" si="5"/>
        <v>0</v>
      </c>
      <c r="AE12" s="2">
        <f t="shared" si="6"/>
        <v>3</v>
      </c>
      <c r="AF12" s="2">
        <f t="shared" si="7"/>
        <v>0</v>
      </c>
      <c r="AG12" s="3">
        <f t="shared" si="20"/>
        <v>82.5</v>
      </c>
      <c r="AH12" s="73"/>
      <c r="AI12"/>
      <c r="AJ12"/>
      <c r="AK12" s="31"/>
      <c r="AL12" s="80">
        <f t="shared" si="9"/>
        <v>0</v>
      </c>
      <c r="AM12" s="10">
        <f t="shared" si="10"/>
        <v>0</v>
      </c>
      <c r="AN12" s="10">
        <f t="shared" si="11"/>
        <v>0</v>
      </c>
      <c r="AO12" s="10">
        <f t="shared" si="12"/>
        <v>0</v>
      </c>
      <c r="AP12" s="10">
        <f t="shared" si="13"/>
        <v>0</v>
      </c>
      <c r="AQ12" s="2">
        <f t="shared" si="21"/>
        <v>0</v>
      </c>
      <c r="AR12" s="39"/>
    </row>
    <row r="13" spans="1:44">
      <c r="A13" s="102" t="s">
        <v>62</v>
      </c>
      <c r="B13" s="40" t="s">
        <v>9</v>
      </c>
      <c r="C13">
        <v>1</v>
      </c>
      <c r="D13" s="40" t="s">
        <v>64</v>
      </c>
      <c r="E13" s="31">
        <v>1500</v>
      </c>
      <c r="F13" s="128">
        <f t="shared" si="17"/>
        <v>1500</v>
      </c>
      <c r="G13" s="139">
        <v>0</v>
      </c>
      <c r="H13" s="139">
        <v>0</v>
      </c>
      <c r="I13" s="139">
        <v>0</v>
      </c>
      <c r="J13" s="243">
        <v>8</v>
      </c>
      <c r="K13" s="140">
        <v>0</v>
      </c>
      <c r="L13" t="s">
        <v>8</v>
      </c>
      <c r="M13" s="31">
        <f t="shared" si="18"/>
        <v>1200</v>
      </c>
      <c r="N13">
        <v>1</v>
      </c>
      <c r="O13" s="41">
        <f t="shared" si="19"/>
        <v>2700</v>
      </c>
      <c r="P13" s="41"/>
      <c r="Q13" s="108" t="s">
        <v>48</v>
      </c>
      <c r="R13" s="179" t="s">
        <v>91</v>
      </c>
      <c r="S13" s="186" t="str">
        <f t="shared" si="15"/>
        <v>BPD2009</v>
      </c>
      <c r="T13" s="186" t="str">
        <f t="shared" si="16"/>
        <v>B5.2.42009</v>
      </c>
      <c r="U13" s="186" t="s">
        <v>320</v>
      </c>
      <c r="V13"/>
      <c r="W13"/>
      <c r="X13"/>
      <c r="Y13"/>
      <c r="Z13"/>
      <c r="AA13" s="85">
        <v>2009</v>
      </c>
      <c r="AB13" s="2">
        <f t="shared" si="3"/>
        <v>0</v>
      </c>
      <c r="AC13" s="2">
        <f t="shared" si="4"/>
        <v>0</v>
      </c>
      <c r="AD13" s="2">
        <f t="shared" si="5"/>
        <v>0</v>
      </c>
      <c r="AE13" s="2">
        <f t="shared" si="6"/>
        <v>8</v>
      </c>
      <c r="AF13" s="2">
        <f t="shared" si="7"/>
        <v>0</v>
      </c>
      <c r="AG13" s="3">
        <f t="shared" si="20"/>
        <v>1500</v>
      </c>
      <c r="AH13" s="73"/>
      <c r="AL13" s="80">
        <f t="shared" si="9"/>
        <v>0</v>
      </c>
      <c r="AM13" s="10">
        <f t="shared" si="10"/>
        <v>0</v>
      </c>
      <c r="AN13" s="10">
        <f t="shared" si="11"/>
        <v>0</v>
      </c>
      <c r="AO13" s="10">
        <f t="shared" si="12"/>
        <v>0</v>
      </c>
      <c r="AP13" s="10">
        <f t="shared" si="13"/>
        <v>0</v>
      </c>
      <c r="AQ13" s="2">
        <f t="shared" si="21"/>
        <v>0</v>
      </c>
      <c r="AR13" s="73"/>
    </row>
    <row r="14" spans="1:44">
      <c r="A14" s="103" t="s">
        <v>116</v>
      </c>
      <c r="B14" s="40" t="s">
        <v>117</v>
      </c>
      <c r="C14">
        <v>2</v>
      </c>
      <c r="D14" s="40" t="s">
        <v>118</v>
      </c>
      <c r="E14" s="31">
        <v>600</v>
      </c>
      <c r="F14" s="128">
        <f t="shared" si="17"/>
        <v>1200</v>
      </c>
      <c r="G14" s="139">
        <v>0</v>
      </c>
      <c r="H14" s="139">
        <v>0</v>
      </c>
      <c r="I14" s="139">
        <v>0</v>
      </c>
      <c r="J14" s="243">
        <v>8</v>
      </c>
      <c r="K14" s="140">
        <v>0</v>
      </c>
      <c r="L14" t="s">
        <v>8</v>
      </c>
      <c r="M14" s="31">
        <f t="shared" si="18"/>
        <v>1200</v>
      </c>
      <c r="N14">
        <v>1</v>
      </c>
      <c r="O14" s="41">
        <f t="shared" si="19"/>
        <v>2400</v>
      </c>
      <c r="P14" s="41"/>
      <c r="Q14" s="108" t="s">
        <v>48</v>
      </c>
      <c r="R14" s="179" t="s">
        <v>91</v>
      </c>
      <c r="S14" s="186" t="str">
        <f t="shared" ref="S14" si="38">CONCATENATE(Q14,R14,AA14)</f>
        <v>BPD2009</v>
      </c>
      <c r="T14" s="186" t="str">
        <f t="shared" si="16"/>
        <v>B4.2.42009</v>
      </c>
      <c r="U14" s="186" t="s">
        <v>319</v>
      </c>
      <c r="V14"/>
      <c r="W14"/>
      <c r="X14"/>
      <c r="Y14"/>
      <c r="Z14"/>
      <c r="AA14" s="85">
        <v>2009</v>
      </c>
      <c r="AB14" s="2">
        <f t="shared" si="3"/>
        <v>0</v>
      </c>
      <c r="AC14" s="2">
        <f t="shared" si="4"/>
        <v>0</v>
      </c>
      <c r="AD14" s="2">
        <f t="shared" si="5"/>
        <v>0</v>
      </c>
      <c r="AE14" s="2">
        <f t="shared" si="6"/>
        <v>8</v>
      </c>
      <c r="AF14" s="2">
        <f t="shared" si="7"/>
        <v>0</v>
      </c>
      <c r="AG14" s="3">
        <f t="shared" si="20"/>
        <v>1200</v>
      </c>
      <c r="AH14" s="73"/>
      <c r="AL14" s="80">
        <f t="shared" si="9"/>
        <v>0</v>
      </c>
      <c r="AM14" s="10">
        <f t="shared" si="10"/>
        <v>0</v>
      </c>
      <c r="AN14" s="10">
        <f t="shared" si="11"/>
        <v>0</v>
      </c>
      <c r="AO14" s="10">
        <f t="shared" si="12"/>
        <v>0</v>
      </c>
      <c r="AP14" s="10">
        <f t="shared" si="13"/>
        <v>0</v>
      </c>
      <c r="AQ14" s="2">
        <f t="shared" si="21"/>
        <v>0</v>
      </c>
      <c r="AR14" s="73"/>
    </row>
    <row r="15" spans="1:44">
      <c r="A15" s="103" t="s">
        <v>103</v>
      </c>
      <c r="B15" s="40" t="s">
        <v>82</v>
      </c>
      <c r="C15">
        <v>1</v>
      </c>
      <c r="D15" s="40" t="s">
        <v>64</v>
      </c>
      <c r="E15" s="31">
        <v>500</v>
      </c>
      <c r="F15" s="128">
        <f t="shared" ref="F15" si="39">E15*C15</f>
        <v>500</v>
      </c>
      <c r="G15" s="139">
        <v>0</v>
      </c>
      <c r="H15" s="139">
        <v>0</v>
      </c>
      <c r="I15" s="139">
        <v>0</v>
      </c>
      <c r="J15" s="139">
        <v>0.5</v>
      </c>
      <c r="K15" s="140">
        <v>0</v>
      </c>
      <c r="L15" t="s">
        <v>8</v>
      </c>
      <c r="M15" s="31">
        <f t="shared" ref="M15" si="40">((Shop*G15)+(M_Tech*H15)+(CMM*I15)+(ENG*J15)+(DES*K15))*N15</f>
        <v>0</v>
      </c>
      <c r="N15" s="242">
        <v>0</v>
      </c>
      <c r="O15" s="41">
        <f t="shared" ref="O15" si="41">M15+(N15*F15)</f>
        <v>0</v>
      </c>
      <c r="P15" s="41"/>
      <c r="Q15" s="108" t="s">
        <v>48</v>
      </c>
      <c r="R15" s="179" t="s">
        <v>91</v>
      </c>
      <c r="S15" s="186" t="str">
        <f t="shared" si="15"/>
        <v>BPD2009</v>
      </c>
      <c r="T15" s="186" t="str">
        <f t="shared" si="16"/>
        <v>B5.2.42009</v>
      </c>
      <c r="U15" s="186" t="s">
        <v>320</v>
      </c>
      <c r="V15"/>
      <c r="W15"/>
      <c r="X15"/>
      <c r="Y15"/>
      <c r="Z15"/>
      <c r="AA15" s="85">
        <v>2009</v>
      </c>
      <c r="AB15" s="2">
        <f t="shared" ref="AB15" si="42">IF($Q15="B", (G15*$N15),0)</f>
        <v>0</v>
      </c>
      <c r="AC15" s="2">
        <f t="shared" ref="AC15" si="43">IF($Q15="B", (H15*$N15),0)</f>
        <v>0</v>
      </c>
      <c r="AD15" s="2">
        <f t="shared" ref="AD15" si="44">IF($Q15="B", (I15*$N15),0)</f>
        <v>0</v>
      </c>
      <c r="AE15" s="2">
        <f t="shared" ref="AE15" si="45">IF($Q15="B", (J15*$N15),0)</f>
        <v>0</v>
      </c>
      <c r="AF15" s="2">
        <f t="shared" ref="AF15" si="46">IF($Q15="B", (K15*$N15),0)</f>
        <v>0</v>
      </c>
      <c r="AG15" s="3">
        <f t="shared" ref="AG15" si="47">IF($Q15="B", (F15*$N15),0)</f>
        <v>0</v>
      </c>
      <c r="AH15" s="73"/>
      <c r="AL15" s="80">
        <f t="shared" ref="AL15" si="48">IF($Q15="C", (G15*$N15),0)</f>
        <v>0</v>
      </c>
      <c r="AM15" s="10">
        <f t="shared" ref="AM15" si="49">IF($Q15="C", (H15*$N15),0)</f>
        <v>0</v>
      </c>
      <c r="AN15" s="10">
        <f t="shared" ref="AN15" si="50">IF($Q15="C", (I15*$N15),0)</f>
        <v>0</v>
      </c>
      <c r="AO15" s="10">
        <f t="shared" ref="AO15" si="51">IF($Q15="C", (J15*$N15),0)</f>
        <v>0</v>
      </c>
      <c r="AP15" s="10">
        <f t="shared" ref="AP15" si="52">IF($Q15="C", (K15*$N15),0)</f>
        <v>0</v>
      </c>
      <c r="AQ15" s="2">
        <f t="shared" ref="AQ15" si="53">IF($Q15="C", (F15*$N15),0)</f>
        <v>0</v>
      </c>
      <c r="AR15" s="73"/>
    </row>
    <row r="16" spans="1:44">
      <c r="A16" s="103" t="s">
        <v>315</v>
      </c>
      <c r="B16" s="40" t="s">
        <v>82</v>
      </c>
      <c r="C16">
        <v>1</v>
      </c>
      <c r="D16" s="40" t="s">
        <v>64</v>
      </c>
      <c r="E16" s="31">
        <v>500</v>
      </c>
      <c r="F16" s="128">
        <f t="shared" si="17"/>
        <v>500</v>
      </c>
      <c r="G16" s="139">
        <v>0</v>
      </c>
      <c r="H16" s="139">
        <v>0</v>
      </c>
      <c r="I16" s="139">
        <v>0</v>
      </c>
      <c r="J16" s="139">
        <v>1</v>
      </c>
      <c r="K16" s="140">
        <v>0</v>
      </c>
      <c r="L16" t="s">
        <v>8</v>
      </c>
      <c r="M16" s="31">
        <f t="shared" ref="M16:M17" si="54">((Shop*G16)+(M_Tech*H16)+(CMM*I16)+(ENG*J16)+(DES*K16))*N16</f>
        <v>150</v>
      </c>
      <c r="N16" s="242">
        <v>1</v>
      </c>
      <c r="O16" s="41">
        <f t="shared" ref="O16:O17" si="55">M16+(N16*F16)</f>
        <v>650</v>
      </c>
      <c r="P16" s="41"/>
      <c r="Q16" s="108" t="s">
        <v>48</v>
      </c>
      <c r="R16" s="179" t="s">
        <v>91</v>
      </c>
      <c r="S16" s="186" t="str">
        <f t="shared" si="15"/>
        <v>BPD2009</v>
      </c>
      <c r="T16" s="186" t="str">
        <f t="shared" si="16"/>
        <v>B5.2.42009</v>
      </c>
      <c r="U16" s="186" t="s">
        <v>320</v>
      </c>
      <c r="V16"/>
      <c r="W16"/>
      <c r="X16"/>
      <c r="Y16"/>
      <c r="Z16"/>
      <c r="AA16" s="85">
        <v>2009</v>
      </c>
      <c r="AB16" s="2">
        <f t="shared" ref="AB16:AB17" si="56">IF($Q16="B", (G16*$N16),0)</f>
        <v>0</v>
      </c>
      <c r="AC16" s="2">
        <f t="shared" ref="AC16:AC17" si="57">IF($Q16="B", (H16*$N16),0)</f>
        <v>0</v>
      </c>
      <c r="AD16" s="2">
        <f t="shared" ref="AD16:AD17" si="58">IF($Q16="B", (I16*$N16),0)</f>
        <v>0</v>
      </c>
      <c r="AE16" s="2">
        <f t="shared" ref="AE16:AE17" si="59">IF($Q16="B", (J16*$N16),0)</f>
        <v>1</v>
      </c>
      <c r="AF16" s="2">
        <f t="shared" ref="AF16:AF17" si="60">IF($Q16="B", (K16*$N16),0)</f>
        <v>0</v>
      </c>
      <c r="AG16" s="3">
        <f t="shared" ref="AG16:AG17" si="61">IF($Q16="B", (F16*$N16),0)</f>
        <v>500</v>
      </c>
      <c r="AH16" s="73"/>
      <c r="AL16" s="80">
        <f t="shared" ref="AL16:AL17" si="62">IF($Q16="C", (G16*$N16),0)</f>
        <v>0</v>
      </c>
      <c r="AM16" s="10">
        <f t="shared" ref="AM16:AM17" si="63">IF($Q16="C", (H16*$N16),0)</f>
        <v>0</v>
      </c>
      <c r="AN16" s="10">
        <f t="shared" ref="AN16:AN17" si="64">IF($Q16="C", (I16*$N16),0)</f>
        <v>0</v>
      </c>
      <c r="AO16" s="10">
        <f t="shared" ref="AO16:AO17" si="65">IF($Q16="C", (J16*$N16),0)</f>
        <v>0</v>
      </c>
      <c r="AP16" s="10">
        <f t="shared" ref="AP16:AP17" si="66">IF($Q16="C", (K16*$N16),0)</f>
        <v>0</v>
      </c>
      <c r="AQ16" s="2">
        <f t="shared" ref="AQ16:AQ17" si="67">IF($Q16="C", (F16*$N16),0)</f>
        <v>0</v>
      </c>
      <c r="AR16" s="73"/>
    </row>
    <row r="17" spans="1:44" s="38" customFormat="1">
      <c r="A17" s="103" t="s">
        <v>68</v>
      </c>
      <c r="B17" s="40" t="s">
        <v>65</v>
      </c>
      <c r="C17">
        <v>1</v>
      </c>
      <c r="D17" s="40" t="s">
        <v>64</v>
      </c>
      <c r="E17" s="31">
        <v>1000</v>
      </c>
      <c r="F17" s="128">
        <f t="shared" si="17"/>
        <v>1000</v>
      </c>
      <c r="G17" s="139">
        <v>0</v>
      </c>
      <c r="H17" s="139">
        <v>0</v>
      </c>
      <c r="I17" s="139">
        <v>0</v>
      </c>
      <c r="J17" s="243">
        <v>2</v>
      </c>
      <c r="K17" s="140">
        <v>0</v>
      </c>
      <c r="L17" t="s">
        <v>8</v>
      </c>
      <c r="M17" s="31">
        <f t="shared" si="54"/>
        <v>300</v>
      </c>
      <c r="N17">
        <v>1</v>
      </c>
      <c r="O17" s="41">
        <f t="shared" si="55"/>
        <v>1300</v>
      </c>
      <c r="P17" s="41"/>
      <c r="Q17" s="108" t="s">
        <v>48</v>
      </c>
      <c r="R17" s="179" t="s">
        <v>91</v>
      </c>
      <c r="S17" s="186" t="str">
        <f t="shared" ref="S17" si="68">CONCATENATE(Q17,R17,AA17)</f>
        <v>BPD2009</v>
      </c>
      <c r="T17" s="186" t="str">
        <f t="shared" si="16"/>
        <v>B4.2.42009</v>
      </c>
      <c r="U17" s="186" t="s">
        <v>319</v>
      </c>
      <c r="V17"/>
      <c r="W17"/>
      <c r="X17"/>
      <c r="Y17"/>
      <c r="Z17"/>
      <c r="AA17" s="85">
        <v>2009</v>
      </c>
      <c r="AB17" s="2">
        <f t="shared" si="56"/>
        <v>0</v>
      </c>
      <c r="AC17" s="2">
        <f t="shared" si="57"/>
        <v>0</v>
      </c>
      <c r="AD17" s="2">
        <f t="shared" si="58"/>
        <v>0</v>
      </c>
      <c r="AE17" s="2">
        <f t="shared" si="59"/>
        <v>2</v>
      </c>
      <c r="AF17" s="2">
        <f t="shared" si="60"/>
        <v>0</v>
      </c>
      <c r="AG17" s="3">
        <f t="shared" si="61"/>
        <v>1000</v>
      </c>
      <c r="AH17" s="73"/>
      <c r="AI17" t="s">
        <v>83</v>
      </c>
      <c r="AJ17"/>
      <c r="AK17" s="31" t="s">
        <v>84</v>
      </c>
      <c r="AL17" s="80">
        <f t="shared" si="62"/>
        <v>0</v>
      </c>
      <c r="AM17" s="10">
        <f t="shared" si="63"/>
        <v>0</v>
      </c>
      <c r="AN17" s="10">
        <f t="shared" si="64"/>
        <v>0</v>
      </c>
      <c r="AO17" s="10">
        <f t="shared" si="65"/>
        <v>0</v>
      </c>
      <c r="AP17" s="10">
        <f t="shared" si="66"/>
        <v>0</v>
      </c>
      <c r="AQ17" s="2">
        <f t="shared" si="67"/>
        <v>0</v>
      </c>
      <c r="AR17" s="39"/>
    </row>
    <row r="18" spans="1:44" s="38" customFormat="1">
      <c r="A18" s="103" t="s">
        <v>68</v>
      </c>
      <c r="B18" s="40" t="s">
        <v>65</v>
      </c>
      <c r="C18">
        <v>1</v>
      </c>
      <c r="D18" s="40" t="s">
        <v>64</v>
      </c>
      <c r="E18" s="31">
        <v>4000</v>
      </c>
      <c r="F18" s="128">
        <f t="shared" ref="F18" si="69">E18*C18</f>
        <v>4000</v>
      </c>
      <c r="G18" s="139">
        <v>0</v>
      </c>
      <c r="H18" s="139">
        <v>0</v>
      </c>
      <c r="I18" s="139">
        <v>0</v>
      </c>
      <c r="J18" s="243">
        <v>2</v>
      </c>
      <c r="K18" s="140">
        <v>0</v>
      </c>
      <c r="L18" t="s">
        <v>8</v>
      </c>
      <c r="M18" s="31">
        <f t="shared" ref="M18" si="70">((Shop*G18)+(M_Tech*H18)+(CMM*I18)+(ENG*J18)+(DES*K18))*N18</f>
        <v>300</v>
      </c>
      <c r="N18">
        <v>1</v>
      </c>
      <c r="O18" s="41">
        <f t="shared" ref="O18" si="71">M18+(N18*F18)</f>
        <v>4300</v>
      </c>
      <c r="P18" s="41"/>
      <c r="Q18" s="108" t="s">
        <v>48</v>
      </c>
      <c r="R18" s="179" t="s">
        <v>91</v>
      </c>
      <c r="S18" s="186" t="str">
        <f t="shared" si="15"/>
        <v>BPD2009</v>
      </c>
      <c r="T18" s="186" t="str">
        <f t="shared" si="16"/>
        <v>B5.2.42009</v>
      </c>
      <c r="U18" s="186" t="s">
        <v>320</v>
      </c>
      <c r="V18"/>
      <c r="W18"/>
      <c r="X18"/>
      <c r="Y18"/>
      <c r="Z18"/>
      <c r="AA18" s="85">
        <v>2009</v>
      </c>
      <c r="AB18" s="2">
        <f t="shared" si="3"/>
        <v>0</v>
      </c>
      <c r="AC18" s="2">
        <f t="shared" si="4"/>
        <v>0</v>
      </c>
      <c r="AD18" s="2">
        <f t="shared" si="5"/>
        <v>0</v>
      </c>
      <c r="AE18" s="2">
        <f t="shared" si="6"/>
        <v>2</v>
      </c>
      <c r="AF18" s="2">
        <f t="shared" si="7"/>
        <v>0</v>
      </c>
      <c r="AG18" s="3">
        <f t="shared" ref="AG18" si="72">IF($Q18="B", (F18*$N18),0)</f>
        <v>4000</v>
      </c>
      <c r="AH18" s="73"/>
      <c r="AI18" t="s">
        <v>83</v>
      </c>
      <c r="AJ18"/>
      <c r="AK18" s="31" t="s">
        <v>84</v>
      </c>
      <c r="AL18" s="80">
        <f t="shared" si="9"/>
        <v>0</v>
      </c>
      <c r="AM18" s="10">
        <f t="shared" si="10"/>
        <v>0</v>
      </c>
      <c r="AN18" s="10">
        <f t="shared" si="11"/>
        <v>0</v>
      </c>
      <c r="AO18" s="10">
        <f t="shared" si="12"/>
        <v>0</v>
      </c>
      <c r="AP18" s="10">
        <f t="shared" si="13"/>
        <v>0</v>
      </c>
      <c r="AQ18" s="2">
        <f t="shared" ref="AQ18" si="73">IF($Q18="C", (F18*$N18),0)</f>
        <v>0</v>
      </c>
      <c r="AR18" s="39"/>
    </row>
    <row r="19" spans="1:44">
      <c r="A19" s="43" t="s">
        <v>67</v>
      </c>
      <c r="B19" s="7"/>
      <c r="C19" s="7"/>
      <c r="D19" s="7"/>
      <c r="E19" s="9"/>
      <c r="F19" s="8"/>
      <c r="G19" s="141"/>
      <c r="H19" s="141"/>
      <c r="I19" s="141"/>
      <c r="J19" s="141"/>
      <c r="K19" s="142"/>
      <c r="L19" s="7"/>
      <c r="M19" s="9">
        <f>SUMIF(Q5:Q18,"B",M5:M18)</f>
        <v>7842</v>
      </c>
      <c r="N19" s="275" t="s">
        <v>77</v>
      </c>
      <c r="O19" s="276"/>
      <c r="P19" s="277"/>
      <c r="Q19" s="109"/>
      <c r="R19" s="182"/>
      <c r="S19" s="187"/>
      <c r="T19" s="187"/>
      <c r="U19" s="187"/>
      <c r="V19" s="7"/>
      <c r="W19" s="7"/>
      <c r="X19" s="7"/>
      <c r="Y19" s="7"/>
      <c r="Z19" s="7"/>
      <c r="AA19" s="86"/>
      <c r="AB19" s="11">
        <f>SUM(AB5:AB18)</f>
        <v>0</v>
      </c>
      <c r="AC19" s="11">
        <f>SUM(AC5:AC18)</f>
        <v>26</v>
      </c>
      <c r="AD19" s="11">
        <f>SUM(AD5:AD18)</f>
        <v>0</v>
      </c>
      <c r="AE19" s="11">
        <f>SUM(AE5:AE18)</f>
        <v>32</v>
      </c>
      <c r="AF19" s="11">
        <f>SUM(AF5:AF18)</f>
        <v>0</v>
      </c>
      <c r="AG19" s="9"/>
      <c r="AH19" s="8">
        <f>SUM(AG5:AG18)</f>
        <v>29282.5</v>
      </c>
      <c r="AI19" s="9">
        <f>(Shop*AB19)+M_Tech*AC19+CMM*AD19+ENG*AE19+DES*AF19+AH19</f>
        <v>37124.5</v>
      </c>
      <c r="AJ19" s="9"/>
      <c r="AK19" s="8">
        <f>Shop*AL19+M_Tech*AM19+CMM*AN19+ENG*AO19+DES*AP19+AR19</f>
        <v>4200</v>
      </c>
      <c r="AL19" s="11">
        <f>SUM(AL5:AL18)</f>
        <v>0</v>
      </c>
      <c r="AM19" s="11">
        <f>SUM(AM5:AM18)</f>
        <v>0</v>
      </c>
      <c r="AN19" s="11">
        <f>SUM(AN5:AN18)</f>
        <v>0</v>
      </c>
      <c r="AO19" s="11">
        <f>SUM(AO5:AO18)</f>
        <v>0</v>
      </c>
      <c r="AP19" s="11">
        <f>SUM(AP5:AP18)</f>
        <v>0</v>
      </c>
      <c r="AQ19" s="9"/>
      <c r="AR19" s="8">
        <f>SUM(AQ5:AQ18)</f>
        <v>4200</v>
      </c>
    </row>
    <row r="20" spans="1:44">
      <c r="F20" s="128"/>
      <c r="G20" s="139"/>
      <c r="H20" s="139"/>
      <c r="I20" s="139"/>
      <c r="J20" s="139"/>
      <c r="K20" s="140"/>
      <c r="M20" s="31"/>
      <c r="N20"/>
      <c r="O20" s="41"/>
      <c r="P20" s="41"/>
      <c r="Q20" s="87"/>
      <c r="R20" s="180"/>
      <c r="S20" s="192"/>
      <c r="T20" s="192"/>
      <c r="U20" s="192"/>
      <c r="V20"/>
      <c r="W20"/>
      <c r="X20"/>
      <c r="Y20"/>
      <c r="Z20"/>
      <c r="AA20" s="88"/>
      <c r="AB20" s="74"/>
      <c r="AC20" s="74"/>
      <c r="AD20" s="74"/>
      <c r="AE20" s="74"/>
      <c r="AF20" s="74"/>
      <c r="AG20" s="75"/>
      <c r="AH20" s="76"/>
      <c r="AI20" s="1"/>
      <c r="AJ20" s="1"/>
      <c r="AL20" s="81"/>
      <c r="AM20" s="2"/>
      <c r="AN20" s="2"/>
      <c r="AO20" s="2"/>
      <c r="AP20" s="2"/>
      <c r="AQ20" s="2"/>
      <c r="AR20" s="73"/>
    </row>
    <row r="21" spans="1:44" ht="15.75">
      <c r="A21" s="105" t="s">
        <v>295</v>
      </c>
      <c r="F21" s="128"/>
      <c r="G21" s="139"/>
      <c r="H21" s="139"/>
      <c r="I21" s="139"/>
      <c r="J21" s="139"/>
      <c r="K21" s="140"/>
      <c r="M21" s="31"/>
      <c r="N21"/>
      <c r="O21" s="41"/>
      <c r="P21" s="41"/>
      <c r="Q21" s="108"/>
      <c r="R21" s="179"/>
      <c r="S21" s="186"/>
      <c r="T21" s="186"/>
      <c r="U21" s="186"/>
      <c r="V21"/>
      <c r="W21"/>
      <c r="X21"/>
      <c r="Y21"/>
      <c r="Z21"/>
      <c r="AA21" s="85"/>
      <c r="AB21" s="10"/>
      <c r="AC21" s="10"/>
      <c r="AD21" s="10"/>
      <c r="AE21" s="10"/>
      <c r="AF21" s="10"/>
      <c r="AG21" s="3"/>
      <c r="AH21" s="73"/>
      <c r="AI21" s="2"/>
      <c r="AJ21" s="2"/>
      <c r="AL21" s="81"/>
      <c r="AM21" s="2"/>
      <c r="AN21" s="2"/>
      <c r="AO21" s="2"/>
      <c r="AP21" s="2"/>
      <c r="AQ21" s="2"/>
      <c r="AR21" s="73"/>
    </row>
    <row r="22" spans="1:44" ht="15.75">
      <c r="A22" s="103" t="s">
        <v>113</v>
      </c>
      <c r="E22" s="120"/>
      <c r="F22" s="129"/>
      <c r="G22" s="143"/>
      <c r="H22" s="143"/>
      <c r="I22" s="143"/>
      <c r="J22" s="143"/>
      <c r="K22" s="144"/>
      <c r="L22" s="118"/>
      <c r="M22" s="118"/>
      <c r="N22" s="105">
        <v>1</v>
      </c>
      <c r="O22" s="41"/>
      <c r="P22" s="41"/>
      <c r="Q22" s="108"/>
      <c r="R22" s="179"/>
      <c r="S22" s="186"/>
      <c r="T22" s="186"/>
      <c r="U22" s="186"/>
      <c r="V22"/>
      <c r="W22"/>
      <c r="X22"/>
      <c r="Y22"/>
      <c r="Z22"/>
      <c r="AA22" s="85"/>
      <c r="AB22" s="10"/>
      <c r="AC22" s="10"/>
      <c r="AD22" s="29"/>
      <c r="AE22" s="10"/>
      <c r="AF22" s="10"/>
      <c r="AG22" s="3"/>
      <c r="AH22" s="73"/>
      <c r="AI22" s="2"/>
      <c r="AJ22" s="2"/>
      <c r="AL22" s="80"/>
      <c r="AM22" s="10"/>
      <c r="AN22" s="10"/>
      <c r="AO22" s="10"/>
      <c r="AP22" s="10"/>
      <c r="AQ22" s="2"/>
      <c r="AR22" s="73"/>
    </row>
    <row r="23" spans="1:44">
      <c r="A23" s="102" t="s">
        <v>69</v>
      </c>
      <c r="B23" s="40" t="s">
        <v>65</v>
      </c>
      <c r="C23">
        <v>1</v>
      </c>
      <c r="D23" s="40" t="s">
        <v>66</v>
      </c>
      <c r="E23" s="31">
        <v>55</v>
      </c>
      <c r="F23" s="128">
        <f>E23*C23</f>
        <v>55</v>
      </c>
      <c r="G23" s="139">
        <v>0</v>
      </c>
      <c r="H23" s="243">
        <v>6</v>
      </c>
      <c r="I23" s="139">
        <v>0</v>
      </c>
      <c r="J23" s="139">
        <v>0</v>
      </c>
      <c r="K23" s="140">
        <v>0</v>
      </c>
      <c r="L23" t="s">
        <v>8</v>
      </c>
      <c r="M23" s="31">
        <f>((Shop*G23)+(M_Tech*H23)+(CMM*I23)+(ENG*J23)+(DES*K23))*N23</f>
        <v>2106</v>
      </c>
      <c r="N23">
        <v>3</v>
      </c>
      <c r="O23" s="41">
        <f>M23+(N23*F23)</f>
        <v>2271</v>
      </c>
      <c r="P23" s="41"/>
      <c r="Q23" s="108" t="s">
        <v>48</v>
      </c>
      <c r="R23" s="179" t="s">
        <v>91</v>
      </c>
      <c r="S23" s="186" t="str">
        <f t="shared" ref="S23:S24" si="74">CONCATENATE(Q23,R23,AA23)</f>
        <v>BPD2009</v>
      </c>
      <c r="T23" s="186" t="str">
        <f t="shared" ref="T23:T24" si="75">CONCATENATE(Q23,U23,AA23)</f>
        <v>B4.2.32009</v>
      </c>
      <c r="U23" s="186" t="s">
        <v>321</v>
      </c>
      <c r="V23"/>
      <c r="W23"/>
      <c r="X23"/>
      <c r="Y23"/>
      <c r="Z23"/>
      <c r="AA23" s="85">
        <v>2009</v>
      </c>
      <c r="AB23" s="2">
        <f t="shared" ref="AB23:AB24" si="76">IF($Q23="B", (G23*$N23),0)</f>
        <v>0</v>
      </c>
      <c r="AC23" s="2">
        <f t="shared" ref="AC23:AC24" si="77">IF($Q23="B", (H23*$N23),0)</f>
        <v>18</v>
      </c>
      <c r="AD23" s="2">
        <f t="shared" ref="AD23:AD24" si="78">IF($Q23="B", (I23*$N23),0)</f>
        <v>0</v>
      </c>
      <c r="AE23" s="2">
        <f t="shared" ref="AE23:AE24" si="79">IF($Q23="B", (J23*$N23),0)</f>
        <v>0</v>
      </c>
      <c r="AF23" s="2">
        <f t="shared" ref="AF23:AF24" si="80">IF($Q23="B", (K23*$N23),0)</f>
        <v>0</v>
      </c>
      <c r="AG23" s="3">
        <f t="shared" ref="AG23:AG24" si="81">IF($Q23="B", (F23*$N23),0)</f>
        <v>165</v>
      </c>
      <c r="AH23" s="73"/>
      <c r="AI23" s="2"/>
      <c r="AJ23" s="2"/>
      <c r="AL23" s="80">
        <f t="shared" ref="AL23:AL24" si="82">IF($Q23="C", (G23*$N23),0)</f>
        <v>0</v>
      </c>
      <c r="AM23" s="10">
        <f t="shared" ref="AM23:AM24" si="83">IF($Q23="C", (H23*$N23),0)</f>
        <v>0</v>
      </c>
      <c r="AN23" s="10">
        <f t="shared" ref="AN23:AN24" si="84">IF($Q23="C", (I23*$N23),0)</f>
        <v>0</v>
      </c>
      <c r="AO23" s="10">
        <f t="shared" ref="AO23:AO24" si="85">IF($Q23="C", (J23*$N23),0)</f>
        <v>0</v>
      </c>
      <c r="AP23" s="10">
        <f t="shared" ref="AP23:AP24" si="86">IF($Q23="C", (K23*$N23),0)</f>
        <v>0</v>
      </c>
      <c r="AQ23" s="2">
        <f t="shared" ref="AQ23:AQ24" si="87">IF($Q23="C", (F23*$N23),0)</f>
        <v>0</v>
      </c>
      <c r="AR23" s="73"/>
    </row>
    <row r="24" spans="1:44">
      <c r="A24" s="102" t="s">
        <v>114</v>
      </c>
      <c r="B24" s="40" t="s">
        <v>71</v>
      </c>
      <c r="C24">
        <v>0</v>
      </c>
      <c r="D24" s="40" t="s">
        <v>112</v>
      </c>
      <c r="E24" s="31">
        <v>80</v>
      </c>
      <c r="F24" s="128">
        <f>E24*C24</f>
        <v>0</v>
      </c>
      <c r="G24" s="243">
        <v>16</v>
      </c>
      <c r="H24" s="139">
        <v>4</v>
      </c>
      <c r="I24" s="139">
        <v>0</v>
      </c>
      <c r="J24" s="139">
        <v>4</v>
      </c>
      <c r="K24" s="140">
        <v>0</v>
      </c>
      <c r="L24" t="s">
        <v>8</v>
      </c>
      <c r="M24" s="31">
        <f>((Shop*G24)+(M_Tech*H24)+(CMM*I24)+(ENG*J24)+(DES*K24))*N24</f>
        <v>3100</v>
      </c>
      <c r="N24">
        <v>1</v>
      </c>
      <c r="O24" s="41">
        <f>M24+(N24*F24)</f>
        <v>3100</v>
      </c>
      <c r="P24" s="41"/>
      <c r="Q24" s="108" t="s">
        <v>48</v>
      </c>
      <c r="R24" s="179" t="s">
        <v>91</v>
      </c>
      <c r="S24" s="186" t="str">
        <f t="shared" si="74"/>
        <v>BPD2009</v>
      </c>
      <c r="T24" s="186" t="str">
        <f t="shared" si="75"/>
        <v>B4.2.32009</v>
      </c>
      <c r="U24" s="186" t="s">
        <v>321</v>
      </c>
      <c r="V24"/>
      <c r="W24"/>
      <c r="X24"/>
      <c r="Y24"/>
      <c r="Z24"/>
      <c r="AA24" s="85">
        <v>2009</v>
      </c>
      <c r="AB24" s="2">
        <f t="shared" si="76"/>
        <v>16</v>
      </c>
      <c r="AC24" s="2">
        <f t="shared" si="77"/>
        <v>4</v>
      </c>
      <c r="AD24" s="2">
        <f t="shared" si="78"/>
        <v>0</v>
      </c>
      <c r="AE24" s="2">
        <f t="shared" si="79"/>
        <v>4</v>
      </c>
      <c r="AF24" s="2">
        <f t="shared" si="80"/>
        <v>0</v>
      </c>
      <c r="AG24" s="3">
        <f t="shared" si="81"/>
        <v>0</v>
      </c>
      <c r="AH24" s="73"/>
      <c r="AI24" s="2"/>
      <c r="AJ24" s="2"/>
      <c r="AL24" s="80">
        <f t="shared" si="82"/>
        <v>0</v>
      </c>
      <c r="AM24" s="10">
        <f t="shared" si="83"/>
        <v>0</v>
      </c>
      <c r="AN24" s="10">
        <f t="shared" si="84"/>
        <v>0</v>
      </c>
      <c r="AO24" s="10">
        <f t="shared" si="85"/>
        <v>0</v>
      </c>
      <c r="AP24" s="10">
        <f t="shared" si="86"/>
        <v>0</v>
      </c>
      <c r="AQ24" s="2">
        <f t="shared" si="87"/>
        <v>0</v>
      </c>
      <c r="AR24" s="73"/>
    </row>
    <row r="25" spans="1:44" ht="15.75">
      <c r="A25" s="103" t="s">
        <v>115</v>
      </c>
      <c r="E25" s="120"/>
      <c r="F25" s="129"/>
      <c r="G25" s="143"/>
      <c r="H25" s="143"/>
      <c r="I25" s="143"/>
      <c r="J25" s="143"/>
      <c r="K25" s="144"/>
      <c r="L25" s="118"/>
      <c r="M25" s="118"/>
      <c r="N25" s="105">
        <v>1</v>
      </c>
      <c r="O25" s="41"/>
      <c r="P25" s="41"/>
      <c r="Q25" s="108"/>
      <c r="R25" s="179"/>
      <c r="S25" s="186"/>
      <c r="T25" s="186"/>
      <c r="U25" s="186"/>
      <c r="V25"/>
      <c r="W25"/>
      <c r="X25"/>
      <c r="Y25"/>
      <c r="Z25"/>
      <c r="AA25" s="85"/>
      <c r="AB25" s="10"/>
      <c r="AC25" s="10"/>
      <c r="AD25" s="29"/>
      <c r="AE25" s="10"/>
      <c r="AF25" s="10"/>
      <c r="AG25" s="3"/>
      <c r="AH25" s="73"/>
      <c r="AI25" s="2"/>
      <c r="AJ25" s="2"/>
      <c r="AL25" s="80"/>
      <c r="AM25" s="10"/>
      <c r="AN25" s="10"/>
      <c r="AO25" s="10"/>
      <c r="AP25" s="10"/>
      <c r="AQ25" s="2"/>
      <c r="AR25" s="73"/>
    </row>
    <row r="26" spans="1:44">
      <c r="A26" s="102" t="s">
        <v>119</v>
      </c>
      <c r="B26" s="40" t="s">
        <v>71</v>
      </c>
      <c r="C26">
        <v>0</v>
      </c>
      <c r="D26" s="40" t="s">
        <v>9</v>
      </c>
      <c r="E26" s="31">
        <v>0</v>
      </c>
      <c r="F26" s="128">
        <f>E26*C26</f>
        <v>0</v>
      </c>
      <c r="G26" s="139">
        <v>32</v>
      </c>
      <c r="H26" s="139">
        <v>8</v>
      </c>
      <c r="I26" s="139">
        <v>0</v>
      </c>
      <c r="J26" s="139">
        <v>1</v>
      </c>
      <c r="K26" s="140">
        <v>0</v>
      </c>
      <c r="L26" t="s">
        <v>8</v>
      </c>
      <c r="M26" s="31">
        <f>((Shop*G26)+(M_Tech*H26)+(CMM*I26)+(ENG*J26)+(DES*K26))*N26</f>
        <v>5150</v>
      </c>
      <c r="N26">
        <f>N25</f>
        <v>1</v>
      </c>
      <c r="O26" s="41">
        <f>M26+(N26*F26)</f>
        <v>5150</v>
      </c>
      <c r="P26" s="41"/>
      <c r="Q26" s="108" t="s">
        <v>48</v>
      </c>
      <c r="R26" s="179" t="s">
        <v>91</v>
      </c>
      <c r="S26" s="186" t="str">
        <f t="shared" ref="S26:S27" si="88">CONCATENATE(Q26,R26,AA26)</f>
        <v>BPD2009</v>
      </c>
      <c r="T26" s="186" t="str">
        <f t="shared" ref="T26:T27" si="89">CONCATENATE(Q26,U26,AA26)</f>
        <v>B4.2.32009</v>
      </c>
      <c r="U26" s="186" t="s">
        <v>321</v>
      </c>
      <c r="V26"/>
      <c r="W26"/>
      <c r="X26"/>
      <c r="Y26"/>
      <c r="Z26"/>
      <c r="AA26" s="85">
        <v>2009</v>
      </c>
      <c r="AB26" s="2">
        <f t="shared" ref="AB26:AB27" si="90">IF($Q26="B", (G26*$N26),0)</f>
        <v>32</v>
      </c>
      <c r="AC26" s="2">
        <f t="shared" ref="AC26:AC27" si="91">IF($Q26="B", (H26*$N26),0)</f>
        <v>8</v>
      </c>
      <c r="AD26" s="2">
        <f t="shared" ref="AD26:AD27" si="92">IF($Q26="B", (I26*$N26),0)</f>
        <v>0</v>
      </c>
      <c r="AE26" s="2">
        <f t="shared" ref="AE26:AE27" si="93">IF($Q26="B", (J26*$N26),0)</f>
        <v>1</v>
      </c>
      <c r="AF26" s="2">
        <f t="shared" ref="AF26:AF27" si="94">IF($Q26="B", (K26*$N26),0)</f>
        <v>0</v>
      </c>
      <c r="AG26" s="3">
        <f t="shared" ref="AG26:AG27" si="95">IF($Q26="B", (F26*$N26),0)</f>
        <v>0</v>
      </c>
      <c r="AH26" s="73"/>
      <c r="AI26" s="2"/>
      <c r="AJ26" s="2"/>
      <c r="AL26" s="80">
        <f t="shared" ref="AL26:AL27" si="96">IF($Q26="C", (G26*$N26),0)</f>
        <v>0</v>
      </c>
      <c r="AM26" s="10">
        <f t="shared" ref="AM26:AM27" si="97">IF($Q26="C", (H26*$N26),0)</f>
        <v>0</v>
      </c>
      <c r="AN26" s="10">
        <f t="shared" ref="AN26:AN27" si="98">IF($Q26="C", (I26*$N26),0)</f>
        <v>0</v>
      </c>
      <c r="AO26" s="10">
        <f t="shared" ref="AO26:AO27" si="99">IF($Q26="C", (J26*$N26),0)</f>
        <v>0</v>
      </c>
      <c r="AP26" s="10">
        <f t="shared" ref="AP26:AP27" si="100">IF($Q26="C", (K26*$N26),0)</f>
        <v>0</v>
      </c>
      <c r="AQ26" s="2">
        <f t="shared" ref="AQ26:AQ27" si="101">IF($Q26="C", (F26*$N26),0)</f>
        <v>0</v>
      </c>
      <c r="AR26" s="73"/>
    </row>
    <row r="27" spans="1:44">
      <c r="A27" s="102" t="s">
        <v>120</v>
      </c>
      <c r="B27" s="40" t="s">
        <v>71</v>
      </c>
      <c r="C27">
        <v>3</v>
      </c>
      <c r="D27" s="40" t="s">
        <v>72</v>
      </c>
      <c r="E27" s="31">
        <v>80</v>
      </c>
      <c r="F27" s="128">
        <f>E27*C27</f>
        <v>240</v>
      </c>
      <c r="G27" s="139">
        <v>16</v>
      </c>
      <c r="H27" s="139">
        <v>8</v>
      </c>
      <c r="I27" s="139">
        <v>0</v>
      </c>
      <c r="J27" s="139">
        <v>2</v>
      </c>
      <c r="K27" s="140">
        <v>0</v>
      </c>
      <c r="L27" t="s">
        <v>8</v>
      </c>
      <c r="M27" s="31">
        <f>((Shop*G27)+(M_Tech*H27)+(CMM*I27)+(ENG*J27)+(DES*K27))*N27</f>
        <v>3268</v>
      </c>
      <c r="N27">
        <f>N25</f>
        <v>1</v>
      </c>
      <c r="O27" s="41">
        <f>M27+(N27*F27)</f>
        <v>3508</v>
      </c>
      <c r="P27" s="41"/>
      <c r="Q27" s="108" t="s">
        <v>48</v>
      </c>
      <c r="R27" s="179" t="s">
        <v>91</v>
      </c>
      <c r="S27" s="186" t="str">
        <f t="shared" si="88"/>
        <v>BPD2009</v>
      </c>
      <c r="T27" s="186" t="str">
        <f t="shared" si="89"/>
        <v>B4.2.32009</v>
      </c>
      <c r="U27" s="186" t="s">
        <v>321</v>
      </c>
      <c r="V27"/>
      <c r="W27"/>
      <c r="X27"/>
      <c r="Y27"/>
      <c r="Z27"/>
      <c r="AA27" s="85">
        <v>2009</v>
      </c>
      <c r="AB27" s="2">
        <f t="shared" si="90"/>
        <v>16</v>
      </c>
      <c r="AC27" s="2">
        <f t="shared" si="91"/>
        <v>8</v>
      </c>
      <c r="AD27" s="2">
        <f t="shared" si="92"/>
        <v>0</v>
      </c>
      <c r="AE27" s="2">
        <f t="shared" si="93"/>
        <v>2</v>
      </c>
      <c r="AF27" s="2">
        <f t="shared" si="94"/>
        <v>0</v>
      </c>
      <c r="AG27" s="3">
        <f t="shared" si="95"/>
        <v>240</v>
      </c>
      <c r="AH27" s="73"/>
      <c r="AI27" s="2"/>
      <c r="AJ27" s="2"/>
      <c r="AL27" s="80">
        <f t="shared" si="96"/>
        <v>0</v>
      </c>
      <c r="AM27" s="10">
        <f t="shared" si="97"/>
        <v>0</v>
      </c>
      <c r="AN27" s="10">
        <f t="shared" si="98"/>
        <v>0</v>
      </c>
      <c r="AO27" s="10">
        <f t="shared" si="99"/>
        <v>0</v>
      </c>
      <c r="AP27" s="10">
        <f t="shared" si="100"/>
        <v>0</v>
      </c>
      <c r="AQ27" s="2">
        <f t="shared" si="101"/>
        <v>0</v>
      </c>
      <c r="AR27" s="73"/>
    </row>
    <row r="28" spans="1:44" ht="15.75">
      <c r="A28" s="103" t="s">
        <v>126</v>
      </c>
      <c r="E28" s="120"/>
      <c r="F28" s="129"/>
      <c r="G28" s="143"/>
      <c r="H28" s="143"/>
      <c r="I28" s="143"/>
      <c r="J28" s="143"/>
      <c r="K28" s="144"/>
      <c r="L28" s="118"/>
      <c r="M28" s="118"/>
      <c r="N28" s="105">
        <v>1</v>
      </c>
      <c r="O28" s="41"/>
      <c r="P28" s="41"/>
      <c r="Q28" s="108"/>
      <c r="R28" s="179"/>
      <c r="S28" s="186"/>
      <c r="T28" s="186"/>
      <c r="U28" s="186"/>
      <c r="V28"/>
      <c r="W28"/>
      <c r="X28"/>
      <c r="Y28"/>
      <c r="Z28"/>
      <c r="AA28" s="85"/>
      <c r="AB28" s="10"/>
      <c r="AC28" s="10"/>
      <c r="AD28" s="29"/>
      <c r="AE28" s="10"/>
      <c r="AF28" s="10"/>
      <c r="AG28" s="3"/>
      <c r="AH28" s="73"/>
      <c r="AI28" s="2"/>
      <c r="AJ28" s="2"/>
      <c r="AL28" s="80"/>
      <c r="AM28" s="10"/>
      <c r="AN28" s="10"/>
      <c r="AO28" s="10"/>
      <c r="AP28" s="10"/>
      <c r="AQ28" s="2"/>
      <c r="AR28" s="73"/>
    </row>
    <row r="29" spans="1:44">
      <c r="A29" s="102" t="s">
        <v>121</v>
      </c>
      <c r="B29" s="40" t="s">
        <v>123</v>
      </c>
      <c r="C29">
        <v>0.03</v>
      </c>
      <c r="D29" s="40" t="s">
        <v>40</v>
      </c>
      <c r="E29" s="31">
        <v>600</v>
      </c>
      <c r="F29" s="128">
        <f t="shared" ref="F29:F34" si="102">E29*C29</f>
        <v>18</v>
      </c>
      <c r="G29" s="243">
        <v>0.8</v>
      </c>
      <c r="H29" s="139">
        <v>0</v>
      </c>
      <c r="I29" s="139">
        <v>0</v>
      </c>
      <c r="J29" s="243">
        <v>0</v>
      </c>
      <c r="K29" s="140">
        <v>0</v>
      </c>
      <c r="L29" t="s">
        <v>8</v>
      </c>
      <c r="M29" s="31">
        <f t="shared" ref="M29:M34" si="103">((Shop*G29)+(M_Tech*H29)+(CMM*I29)+(ENG*J29)+(DES*K29))*N29</f>
        <v>5080</v>
      </c>
      <c r="N29" s="242">
        <v>50</v>
      </c>
      <c r="O29" s="41">
        <f t="shared" ref="O29:O34" si="104">M29+(N29*F29)</f>
        <v>5980</v>
      </c>
      <c r="P29" s="41"/>
      <c r="Q29" s="108" t="s">
        <v>48</v>
      </c>
      <c r="R29" s="179" t="s">
        <v>91</v>
      </c>
      <c r="S29" s="186" t="str">
        <f t="shared" ref="S29:S32" si="105">CONCATENATE(Q29,R29,AA29)</f>
        <v>BPDHytec</v>
      </c>
      <c r="T29" s="186" t="str">
        <f t="shared" ref="T29:T34" si="106">CONCATENATE(Q29,U29,AA29)</f>
        <v>B4.2.3Hytec</v>
      </c>
      <c r="U29" s="186" t="s">
        <v>321</v>
      </c>
      <c r="V29"/>
      <c r="W29"/>
      <c r="X29"/>
      <c r="Y29"/>
      <c r="Z29"/>
      <c r="AA29" s="85" t="s">
        <v>56</v>
      </c>
      <c r="AB29" s="2">
        <f t="shared" ref="AB29:AF34" si="107">IF($Q29="B", (G29*$N29),0)</f>
        <v>40</v>
      </c>
      <c r="AC29" s="2">
        <f t="shared" si="107"/>
        <v>0</v>
      </c>
      <c r="AD29" s="2">
        <f t="shared" si="107"/>
        <v>0</v>
      </c>
      <c r="AE29" s="2">
        <f t="shared" si="107"/>
        <v>0</v>
      </c>
      <c r="AF29" s="2">
        <f t="shared" si="107"/>
        <v>0</v>
      </c>
      <c r="AG29" s="3">
        <f t="shared" ref="AG29:AG34" si="108">IF($Q29="B", (F29*$N29),0)</f>
        <v>900</v>
      </c>
      <c r="AH29" s="73"/>
      <c r="AI29" s="2"/>
      <c r="AJ29" s="2"/>
      <c r="AL29" s="80">
        <f t="shared" ref="AL29:AP34" si="109">IF($Q29="C", (G29*$N29),0)</f>
        <v>0</v>
      </c>
      <c r="AM29" s="10">
        <f t="shared" si="109"/>
        <v>0</v>
      </c>
      <c r="AN29" s="10">
        <f t="shared" si="109"/>
        <v>0</v>
      </c>
      <c r="AO29" s="10">
        <f t="shared" si="109"/>
        <v>0</v>
      </c>
      <c r="AP29" s="10">
        <f t="shared" si="109"/>
        <v>0</v>
      </c>
      <c r="AQ29" s="2">
        <f t="shared" ref="AQ29:AQ34" si="110">IF($Q29="C", (F29*$N29),0)</f>
        <v>0</v>
      </c>
      <c r="AR29" s="73"/>
    </row>
    <row r="30" spans="1:44" s="242" customFormat="1">
      <c r="A30" s="244" t="s">
        <v>297</v>
      </c>
      <c r="B30" s="242" t="s">
        <v>34</v>
      </c>
      <c r="C30" s="242">
        <v>0</v>
      </c>
      <c r="D30" s="242" t="s">
        <v>9</v>
      </c>
      <c r="E30" s="245">
        <v>0</v>
      </c>
      <c r="F30" s="246">
        <f t="shared" si="102"/>
        <v>0</v>
      </c>
      <c r="G30" s="243">
        <v>0</v>
      </c>
      <c r="H30" s="243">
        <v>0</v>
      </c>
      <c r="I30" s="243">
        <v>0</v>
      </c>
      <c r="J30" s="243">
        <v>8</v>
      </c>
      <c r="K30" s="247">
        <v>0</v>
      </c>
      <c r="L30" s="242" t="s">
        <v>8</v>
      </c>
      <c r="M30" s="245">
        <f t="shared" si="103"/>
        <v>1200</v>
      </c>
      <c r="N30" s="242">
        <v>1</v>
      </c>
      <c r="O30" s="248">
        <f t="shared" si="104"/>
        <v>1200</v>
      </c>
      <c r="P30" s="248"/>
      <c r="Q30" s="249" t="s">
        <v>48</v>
      </c>
      <c r="R30" s="250" t="s">
        <v>91</v>
      </c>
      <c r="S30" s="251" t="str">
        <f t="shared" ref="S30" si="111">CONCATENATE(Q30,R30,AA30)</f>
        <v>BPD2009</v>
      </c>
      <c r="T30" s="186" t="str">
        <f t="shared" si="106"/>
        <v>B4.2.32009</v>
      </c>
      <c r="U30" s="186" t="s">
        <v>321</v>
      </c>
      <c r="AA30" s="252">
        <v>2009</v>
      </c>
      <c r="AB30" s="253">
        <f t="shared" ref="AB30" si="112">IF($Q30="B", (G30*$N30),0)</f>
        <v>0</v>
      </c>
      <c r="AC30" s="253">
        <f t="shared" ref="AC30" si="113">IF($Q30="B", (H30*$N30),0)</f>
        <v>0</v>
      </c>
      <c r="AD30" s="253">
        <f t="shared" ref="AD30" si="114">IF($Q30="B", (I30*$N30),0)</f>
        <v>0</v>
      </c>
      <c r="AE30" s="253">
        <f t="shared" ref="AE30" si="115">IF($Q30="B", (J30*$N30),0)</f>
        <v>8</v>
      </c>
      <c r="AF30" s="253">
        <f t="shared" ref="AF30" si="116">IF($Q30="B", (K30*$N30),0)</f>
        <v>0</v>
      </c>
      <c r="AG30" s="254">
        <f t="shared" si="108"/>
        <v>0</v>
      </c>
      <c r="AH30" s="255"/>
      <c r="AI30" s="253"/>
      <c r="AJ30" s="253"/>
      <c r="AK30" s="245"/>
      <c r="AL30" s="256">
        <f t="shared" ref="AL30" si="117">IF($Q30="C", (G30*$N30),0)</f>
        <v>0</v>
      </c>
      <c r="AM30" s="257">
        <f t="shared" ref="AM30" si="118">IF($Q30="C", (H30*$N30),0)</f>
        <v>0</v>
      </c>
      <c r="AN30" s="257">
        <f t="shared" ref="AN30" si="119">IF($Q30="C", (I30*$N30),0)</f>
        <v>0</v>
      </c>
      <c r="AO30" s="257">
        <f t="shared" ref="AO30" si="120">IF($Q30="C", (J30*$N30),0)</f>
        <v>0</v>
      </c>
      <c r="AP30" s="257">
        <f t="shared" ref="AP30" si="121">IF($Q30="C", (K30*$N30),0)</f>
        <v>0</v>
      </c>
      <c r="AQ30" s="253">
        <f t="shared" si="110"/>
        <v>0</v>
      </c>
      <c r="AR30" s="255"/>
    </row>
    <row r="31" spans="1:44">
      <c r="A31" s="102" t="s">
        <v>133</v>
      </c>
      <c r="B31" s="40" t="s">
        <v>123</v>
      </c>
      <c r="C31">
        <v>0.03</v>
      </c>
      <c r="D31" s="40" t="s">
        <v>40</v>
      </c>
      <c r="E31" s="31">
        <v>600</v>
      </c>
      <c r="F31" s="128">
        <f t="shared" si="102"/>
        <v>18</v>
      </c>
      <c r="G31" s="139">
        <v>0.8</v>
      </c>
      <c r="H31" s="139">
        <v>0</v>
      </c>
      <c r="I31" s="139">
        <v>0</v>
      </c>
      <c r="J31" s="139">
        <v>0</v>
      </c>
      <c r="K31" s="140">
        <v>0</v>
      </c>
      <c r="L31" t="s">
        <v>8</v>
      </c>
      <c r="M31" s="31">
        <f t="shared" si="103"/>
        <v>1219.2</v>
      </c>
      <c r="N31" s="242">
        <v>12</v>
      </c>
      <c r="O31" s="41">
        <f t="shared" si="104"/>
        <v>1435.2</v>
      </c>
      <c r="P31" s="41"/>
      <c r="Q31" s="108" t="s">
        <v>49</v>
      </c>
      <c r="R31" s="179" t="s">
        <v>91</v>
      </c>
      <c r="S31" s="186" t="str">
        <f>CONCATENATE(Q31,R31,AA31)</f>
        <v>CPDHytec</v>
      </c>
      <c r="T31" s="186" t="str">
        <f t="shared" si="106"/>
        <v>C4.2.3Hytec</v>
      </c>
      <c r="U31" s="186" t="s">
        <v>321</v>
      </c>
      <c r="V31"/>
      <c r="W31"/>
      <c r="X31"/>
      <c r="Y31"/>
      <c r="Z31"/>
      <c r="AA31" s="85" t="s">
        <v>56</v>
      </c>
      <c r="AB31" s="2">
        <f t="shared" si="107"/>
        <v>0</v>
      </c>
      <c r="AC31" s="2">
        <f t="shared" si="107"/>
        <v>0</v>
      </c>
      <c r="AD31" s="2">
        <f t="shared" si="107"/>
        <v>0</v>
      </c>
      <c r="AE31" s="2">
        <f t="shared" si="107"/>
        <v>0</v>
      </c>
      <c r="AF31" s="2">
        <f t="shared" si="107"/>
        <v>0</v>
      </c>
      <c r="AG31" s="3">
        <f t="shared" si="108"/>
        <v>0</v>
      </c>
      <c r="AH31" s="73"/>
      <c r="AI31" s="2"/>
      <c r="AJ31" s="2"/>
      <c r="AL31" s="80">
        <f t="shared" si="109"/>
        <v>9.6000000000000014</v>
      </c>
      <c r="AM31" s="10">
        <f t="shared" si="109"/>
        <v>0</v>
      </c>
      <c r="AN31" s="10">
        <f t="shared" si="109"/>
        <v>0</v>
      </c>
      <c r="AO31" s="10">
        <f t="shared" si="109"/>
        <v>0</v>
      </c>
      <c r="AP31" s="10">
        <f t="shared" si="109"/>
        <v>0</v>
      </c>
      <c r="AQ31" s="2">
        <f t="shared" si="110"/>
        <v>216</v>
      </c>
      <c r="AR31" s="73"/>
    </row>
    <row r="32" spans="1:44">
      <c r="A32" s="102" t="s">
        <v>122</v>
      </c>
      <c r="B32" s="40" t="s">
        <v>123</v>
      </c>
      <c r="C32">
        <v>0.08</v>
      </c>
      <c r="D32" s="40" t="s">
        <v>40</v>
      </c>
      <c r="E32" s="31">
        <v>600</v>
      </c>
      <c r="F32" s="128">
        <f t="shared" si="102"/>
        <v>48</v>
      </c>
      <c r="G32" s="139">
        <v>1</v>
      </c>
      <c r="H32" s="139">
        <v>0</v>
      </c>
      <c r="I32" s="139">
        <v>0</v>
      </c>
      <c r="J32" s="243">
        <v>0</v>
      </c>
      <c r="K32" s="140">
        <v>0</v>
      </c>
      <c r="L32" t="s">
        <v>8</v>
      </c>
      <c r="M32" s="31">
        <f t="shared" si="103"/>
        <v>10160</v>
      </c>
      <c r="N32" s="242">
        <v>80</v>
      </c>
      <c r="O32" s="41">
        <f t="shared" si="104"/>
        <v>14000</v>
      </c>
      <c r="P32" s="41"/>
      <c r="Q32" s="108" t="s">
        <v>48</v>
      </c>
      <c r="R32" s="179" t="s">
        <v>91</v>
      </c>
      <c r="S32" s="186" t="str">
        <f t="shared" si="105"/>
        <v>BPDHytec</v>
      </c>
      <c r="T32" s="186" t="str">
        <f t="shared" si="106"/>
        <v>B4.2.3Hytec</v>
      </c>
      <c r="U32" s="186" t="s">
        <v>321</v>
      </c>
      <c r="V32"/>
      <c r="W32"/>
      <c r="X32"/>
      <c r="Y32"/>
      <c r="Z32"/>
      <c r="AA32" s="85" t="s">
        <v>56</v>
      </c>
      <c r="AB32" s="2">
        <f t="shared" si="107"/>
        <v>80</v>
      </c>
      <c r="AC32" s="2">
        <f t="shared" si="107"/>
        <v>0</v>
      </c>
      <c r="AD32" s="2">
        <f t="shared" si="107"/>
        <v>0</v>
      </c>
      <c r="AE32" s="2">
        <f t="shared" si="107"/>
        <v>0</v>
      </c>
      <c r="AF32" s="2">
        <f t="shared" si="107"/>
        <v>0</v>
      </c>
      <c r="AG32" s="3">
        <f t="shared" si="108"/>
        <v>3840</v>
      </c>
      <c r="AH32" s="73"/>
      <c r="AI32" s="2"/>
      <c r="AJ32" s="2"/>
      <c r="AL32" s="80">
        <f t="shared" si="109"/>
        <v>0</v>
      </c>
      <c r="AM32" s="10">
        <f t="shared" si="109"/>
        <v>0</v>
      </c>
      <c r="AN32" s="10">
        <f t="shared" si="109"/>
        <v>0</v>
      </c>
      <c r="AO32" s="10">
        <f t="shared" si="109"/>
        <v>0</v>
      </c>
      <c r="AP32" s="10">
        <f t="shared" si="109"/>
        <v>0</v>
      </c>
      <c r="AQ32" s="2">
        <f t="shared" si="110"/>
        <v>0</v>
      </c>
      <c r="AR32" s="73"/>
    </row>
    <row r="33" spans="1:44" s="242" customFormat="1">
      <c r="A33" s="244" t="s">
        <v>296</v>
      </c>
      <c r="B33" s="242" t="s">
        <v>34</v>
      </c>
      <c r="C33" s="242">
        <v>0</v>
      </c>
      <c r="D33" s="242" t="s">
        <v>9</v>
      </c>
      <c r="E33" s="245">
        <v>0</v>
      </c>
      <c r="F33" s="246">
        <f t="shared" si="102"/>
        <v>0</v>
      </c>
      <c r="G33" s="243">
        <v>0</v>
      </c>
      <c r="H33" s="243">
        <v>0</v>
      </c>
      <c r="I33" s="243">
        <v>0</v>
      </c>
      <c r="J33" s="243">
        <v>8</v>
      </c>
      <c r="K33" s="247">
        <v>0</v>
      </c>
      <c r="L33" s="242" t="s">
        <v>8</v>
      </c>
      <c r="M33" s="245">
        <f t="shared" si="103"/>
        <v>1200</v>
      </c>
      <c r="N33" s="242">
        <v>1</v>
      </c>
      <c r="O33" s="248">
        <f t="shared" si="104"/>
        <v>1200</v>
      </c>
      <c r="P33" s="248"/>
      <c r="Q33" s="249" t="s">
        <v>48</v>
      </c>
      <c r="R33" s="250" t="s">
        <v>91</v>
      </c>
      <c r="S33" s="251" t="str">
        <f t="shared" ref="S33" si="122">CONCATENATE(Q33,R33,AA33)</f>
        <v>BPD2009</v>
      </c>
      <c r="T33" s="186" t="str">
        <f t="shared" si="106"/>
        <v>B4.2.32009</v>
      </c>
      <c r="U33" s="186" t="s">
        <v>321</v>
      </c>
      <c r="AA33" s="252">
        <v>2009</v>
      </c>
      <c r="AB33" s="253">
        <f>IF($Q33="B", (G33*$N33),0)</f>
        <v>0</v>
      </c>
      <c r="AC33" s="253">
        <f>IF($Q33="B", (H33*$N33),0)</f>
        <v>0</v>
      </c>
      <c r="AD33" s="253">
        <f>IF($Q33="B", (I33*$N33),0)</f>
        <v>0</v>
      </c>
      <c r="AE33" s="253">
        <f>IF($Q33="B", (J33*$N33),0)</f>
        <v>8</v>
      </c>
      <c r="AF33" s="253">
        <f>IF($Q33="B", (K33*$N33),0)</f>
        <v>0</v>
      </c>
      <c r="AG33" s="254">
        <f t="shared" si="108"/>
        <v>0</v>
      </c>
      <c r="AH33" s="255"/>
      <c r="AI33" s="253"/>
      <c r="AJ33" s="253"/>
      <c r="AK33" s="245"/>
      <c r="AL33" s="256">
        <f>IF($Q33="C", (G33*$N33),0)</f>
        <v>0</v>
      </c>
      <c r="AM33" s="257">
        <f>IF($Q33="C", (H33*$N33),0)</f>
        <v>0</v>
      </c>
      <c r="AN33" s="257">
        <f>IF($Q33="C", (I33*$N33),0)</f>
        <v>0</v>
      </c>
      <c r="AO33" s="257">
        <f>IF($Q33="C", (J33*$N33),0)</f>
        <v>0</v>
      </c>
      <c r="AP33" s="257">
        <f>IF($Q33="C", (K33*$N33),0)</f>
        <v>0</v>
      </c>
      <c r="AQ33" s="253">
        <f t="shared" si="110"/>
        <v>0</v>
      </c>
      <c r="AR33" s="255"/>
    </row>
    <row r="34" spans="1:44">
      <c r="A34" s="102" t="s">
        <v>134</v>
      </c>
      <c r="B34" s="40" t="s">
        <v>123</v>
      </c>
      <c r="C34">
        <v>0.08</v>
      </c>
      <c r="D34" s="40" t="s">
        <v>40</v>
      </c>
      <c r="E34" s="31">
        <v>600</v>
      </c>
      <c r="F34" s="128">
        <f t="shared" si="102"/>
        <v>48</v>
      </c>
      <c r="G34" s="139">
        <v>1</v>
      </c>
      <c r="H34" s="139">
        <v>0</v>
      </c>
      <c r="I34" s="139">
        <v>0</v>
      </c>
      <c r="J34" s="139">
        <v>0</v>
      </c>
      <c r="K34" s="140">
        <v>0</v>
      </c>
      <c r="L34" t="s">
        <v>8</v>
      </c>
      <c r="M34" s="31">
        <f t="shared" si="103"/>
        <v>1270</v>
      </c>
      <c r="N34" s="242">
        <v>10</v>
      </c>
      <c r="O34" s="41">
        <f t="shared" si="104"/>
        <v>1750</v>
      </c>
      <c r="P34" s="41"/>
      <c r="Q34" s="108" t="s">
        <v>49</v>
      </c>
      <c r="R34" s="179" t="s">
        <v>91</v>
      </c>
      <c r="S34" s="186" t="str">
        <f t="shared" ref="S34" si="123">CONCATENATE(Q34,R34,AA34)</f>
        <v>CPDHytec</v>
      </c>
      <c r="T34" s="186" t="str">
        <f t="shared" si="106"/>
        <v>C4.2.3Hytec</v>
      </c>
      <c r="U34" s="186" t="s">
        <v>321</v>
      </c>
      <c r="V34"/>
      <c r="W34"/>
      <c r="X34"/>
      <c r="Y34"/>
      <c r="Z34"/>
      <c r="AA34" s="85" t="s">
        <v>56</v>
      </c>
      <c r="AB34" s="2">
        <f t="shared" si="107"/>
        <v>0</v>
      </c>
      <c r="AC34" s="2">
        <f t="shared" si="107"/>
        <v>0</v>
      </c>
      <c r="AD34" s="2">
        <f t="shared" si="107"/>
        <v>0</v>
      </c>
      <c r="AE34" s="2">
        <f t="shared" si="107"/>
        <v>0</v>
      </c>
      <c r="AF34" s="2">
        <f t="shared" si="107"/>
        <v>0</v>
      </c>
      <c r="AG34" s="3">
        <f t="shared" si="108"/>
        <v>0</v>
      </c>
      <c r="AH34" s="73"/>
      <c r="AI34" s="2"/>
      <c r="AJ34" s="2"/>
      <c r="AL34" s="80">
        <f t="shared" si="109"/>
        <v>10</v>
      </c>
      <c r="AM34" s="10">
        <f t="shared" si="109"/>
        <v>0</v>
      </c>
      <c r="AN34" s="10">
        <f t="shared" si="109"/>
        <v>0</v>
      </c>
      <c r="AO34" s="10">
        <f t="shared" si="109"/>
        <v>0</v>
      </c>
      <c r="AP34" s="10">
        <f t="shared" si="109"/>
        <v>0</v>
      </c>
      <c r="AQ34" s="2">
        <f t="shared" si="110"/>
        <v>480</v>
      </c>
      <c r="AR34" s="73"/>
    </row>
    <row r="35" spans="1:44">
      <c r="A35" s="103" t="s">
        <v>76</v>
      </c>
      <c r="E35" s="120"/>
      <c r="F35" s="129"/>
      <c r="G35" s="143"/>
      <c r="H35" s="143"/>
      <c r="I35" s="143"/>
      <c r="J35" s="143"/>
      <c r="K35" s="144"/>
      <c r="L35" s="169" t="s">
        <v>78</v>
      </c>
      <c r="M35" s="170">
        <f>SUMIF(Q29:Q34,"B",M29:M34)</f>
        <v>17640</v>
      </c>
      <c r="N35" s="171" t="s">
        <v>78</v>
      </c>
      <c r="O35" s="41"/>
      <c r="P35" s="41"/>
      <c r="Q35" s="108"/>
      <c r="R35" s="179"/>
      <c r="S35" s="186"/>
      <c r="T35" s="186"/>
      <c r="U35" s="186"/>
      <c r="V35"/>
      <c r="W35"/>
      <c r="X35"/>
      <c r="Y35"/>
      <c r="Z35"/>
      <c r="AA35" s="85"/>
      <c r="AB35" s="10"/>
      <c r="AC35" s="10"/>
      <c r="AD35" s="29"/>
      <c r="AE35" s="10"/>
      <c r="AF35" s="10"/>
      <c r="AG35" s="3"/>
      <c r="AH35" s="73"/>
      <c r="AI35" s="2"/>
      <c r="AJ35" s="2"/>
      <c r="AL35" s="80"/>
      <c r="AM35" s="10"/>
      <c r="AN35" s="10"/>
      <c r="AO35" s="10"/>
      <c r="AP35" s="10"/>
      <c r="AQ35" s="2"/>
      <c r="AR35" s="73"/>
    </row>
    <row r="36" spans="1:44">
      <c r="A36" s="102" t="s">
        <v>183</v>
      </c>
      <c r="B36" s="40" t="s">
        <v>7</v>
      </c>
      <c r="C36">
        <v>20</v>
      </c>
      <c r="D36" s="40" t="s">
        <v>40</v>
      </c>
      <c r="E36" s="31">
        <v>8</v>
      </c>
      <c r="F36" s="128">
        <f t="shared" ref="F36:F43" si="124">E36*C36</f>
        <v>160</v>
      </c>
      <c r="G36" s="139">
        <v>24</v>
      </c>
      <c r="H36" s="139">
        <v>4</v>
      </c>
      <c r="I36" s="139">
        <v>0</v>
      </c>
      <c r="J36" s="139">
        <v>8</v>
      </c>
      <c r="K36" s="140">
        <v>0</v>
      </c>
      <c r="L36" t="s">
        <v>8</v>
      </c>
      <c r="M36" s="31">
        <f t="shared" ref="M36:M43" si="125">((Shop*G36)+(M_Tech*H36)+(CMM*I36)+(ENG*J36)+(DES*K36))*N36</f>
        <v>4716</v>
      </c>
      <c r="N36">
        <v>1</v>
      </c>
      <c r="O36" s="41">
        <f t="shared" ref="O36:O43" si="126">M36+(N36*F36)</f>
        <v>4876</v>
      </c>
      <c r="P36" s="41"/>
      <c r="Q36" s="108" t="s">
        <v>48</v>
      </c>
      <c r="R36" s="179" t="s">
        <v>91</v>
      </c>
      <c r="S36" s="186" t="str">
        <f t="shared" ref="S36:S39" si="127">CONCATENATE(Q36,R36,AA36)</f>
        <v>BPD2009</v>
      </c>
      <c r="T36" s="186" t="str">
        <f t="shared" ref="T36:T50" si="128">CONCATENATE(Q36,U36,AA36)</f>
        <v>B4.2.22009</v>
      </c>
      <c r="U36" s="186" t="s">
        <v>322</v>
      </c>
      <c r="V36"/>
      <c r="W36"/>
      <c r="X36"/>
      <c r="Y36"/>
      <c r="Z36"/>
      <c r="AA36" s="85">
        <v>2009</v>
      </c>
      <c r="AB36" s="2">
        <f t="shared" ref="AB36:AB39" si="129">IF($Q36="B", (G36*$N36),0)</f>
        <v>24</v>
      </c>
      <c r="AC36" s="2">
        <f t="shared" ref="AC36:AC39" si="130">IF($Q36="B", (H36*$N36),0)</f>
        <v>4</v>
      </c>
      <c r="AD36" s="2">
        <f t="shared" ref="AD36:AD39" si="131">IF($Q36="B", (I36*$N36),0)</f>
        <v>0</v>
      </c>
      <c r="AE36" s="2">
        <f t="shared" ref="AE36:AE39" si="132">IF($Q36="B", (J36*$N36),0)</f>
        <v>8</v>
      </c>
      <c r="AF36" s="2">
        <f t="shared" ref="AF36:AF39" si="133">IF($Q36="B", (K36*$N36),0)</f>
        <v>0</v>
      </c>
      <c r="AG36" s="3">
        <f t="shared" ref="AG36:AG39" si="134">IF($Q36="B", (F36*$N36),0)</f>
        <v>160</v>
      </c>
      <c r="AH36" s="73"/>
      <c r="AI36" s="2"/>
      <c r="AJ36" s="2"/>
      <c r="AL36" s="80">
        <f t="shared" ref="AL36:AL39" si="135">IF($Q36="C", (G36*$N36),0)</f>
        <v>0</v>
      </c>
      <c r="AM36" s="10">
        <f t="shared" ref="AM36:AM39" si="136">IF($Q36="C", (H36*$N36),0)</f>
        <v>0</v>
      </c>
      <c r="AN36" s="10">
        <f t="shared" ref="AN36:AN39" si="137">IF($Q36="C", (I36*$N36),0)</f>
        <v>0</v>
      </c>
      <c r="AO36" s="10">
        <f t="shared" ref="AO36:AO39" si="138">IF($Q36="C", (J36*$N36),0)</f>
        <v>0</v>
      </c>
      <c r="AP36" s="10">
        <f t="shared" ref="AP36:AP39" si="139">IF($Q36="C", (K36*$N36),0)</f>
        <v>0</v>
      </c>
      <c r="AQ36" s="2">
        <f t="shared" ref="AQ36:AQ39" si="140">IF($Q36="C", (F36*$N36),0)</f>
        <v>0</v>
      </c>
      <c r="AR36" s="73"/>
    </row>
    <row r="37" spans="1:44">
      <c r="A37" s="102" t="s">
        <v>184</v>
      </c>
      <c r="B37" s="40" t="s">
        <v>7</v>
      </c>
      <c r="C37">
        <v>5</v>
      </c>
      <c r="D37" s="40" t="s">
        <v>40</v>
      </c>
      <c r="E37" s="31">
        <v>8</v>
      </c>
      <c r="F37" s="128">
        <f t="shared" si="124"/>
        <v>40</v>
      </c>
      <c r="G37" s="139">
        <v>8</v>
      </c>
      <c r="H37" s="139">
        <v>2</v>
      </c>
      <c r="I37" s="139">
        <v>0</v>
      </c>
      <c r="J37" s="139">
        <v>0</v>
      </c>
      <c r="K37" s="140">
        <v>0</v>
      </c>
      <c r="L37" t="s">
        <v>8</v>
      </c>
      <c r="M37" s="31">
        <f t="shared" si="125"/>
        <v>1250</v>
      </c>
      <c r="N37">
        <v>1</v>
      </c>
      <c r="O37" s="41">
        <f t="shared" si="126"/>
        <v>1290</v>
      </c>
      <c r="P37" s="41"/>
      <c r="Q37" s="108" t="s">
        <v>48</v>
      </c>
      <c r="R37" s="179" t="s">
        <v>91</v>
      </c>
      <c r="S37" s="186" t="str">
        <f t="shared" ref="S37" si="141">CONCATENATE(Q37,R37,AA37)</f>
        <v>BPD2009</v>
      </c>
      <c r="T37" s="186" t="str">
        <f t="shared" si="128"/>
        <v>B4.2.22009</v>
      </c>
      <c r="U37" s="186" t="s">
        <v>322</v>
      </c>
      <c r="V37"/>
      <c r="W37"/>
      <c r="X37"/>
      <c r="Y37"/>
      <c r="Z37"/>
      <c r="AA37" s="85">
        <v>2009</v>
      </c>
      <c r="AB37" s="2">
        <f t="shared" ref="AB37" si="142">IF($Q37="B", (G37*$N37),0)</f>
        <v>8</v>
      </c>
      <c r="AC37" s="2">
        <f t="shared" ref="AC37" si="143">IF($Q37="B", (H37*$N37),0)</f>
        <v>2</v>
      </c>
      <c r="AD37" s="2">
        <f t="shared" ref="AD37" si="144">IF($Q37="B", (I37*$N37),0)</f>
        <v>0</v>
      </c>
      <c r="AE37" s="2">
        <f t="shared" ref="AE37" si="145">IF($Q37="B", (J37*$N37),0)</f>
        <v>0</v>
      </c>
      <c r="AF37" s="2">
        <f t="shared" ref="AF37" si="146">IF($Q37="B", (K37*$N37),0)</f>
        <v>0</v>
      </c>
      <c r="AG37" s="3">
        <f t="shared" ref="AG37" si="147">IF($Q37="B", (F37*$N37),0)</f>
        <v>40</v>
      </c>
      <c r="AH37" s="73"/>
      <c r="AI37" s="2"/>
      <c r="AJ37" s="2"/>
      <c r="AL37" s="80">
        <f t="shared" ref="AL37" si="148">IF($Q37="C", (G37*$N37),0)</f>
        <v>0</v>
      </c>
      <c r="AM37" s="10">
        <f t="shared" ref="AM37" si="149">IF($Q37="C", (H37*$N37),0)</f>
        <v>0</v>
      </c>
      <c r="AN37" s="10">
        <f t="shared" ref="AN37" si="150">IF($Q37="C", (I37*$N37),0)</f>
        <v>0</v>
      </c>
      <c r="AO37" s="10">
        <f t="shared" ref="AO37" si="151">IF($Q37="C", (J37*$N37),0)</f>
        <v>0</v>
      </c>
      <c r="AP37" s="10">
        <f t="shared" ref="AP37" si="152">IF($Q37="C", (K37*$N37),0)</f>
        <v>0</v>
      </c>
      <c r="AQ37" s="2">
        <f t="shared" ref="AQ37" si="153">IF($Q37="C", (F37*$N37),0)</f>
        <v>0</v>
      </c>
      <c r="AR37" s="73"/>
    </row>
    <row r="38" spans="1:44">
      <c r="A38" s="102" t="s">
        <v>185</v>
      </c>
      <c r="B38" s="40" t="s">
        <v>7</v>
      </c>
      <c r="C38">
        <v>5</v>
      </c>
      <c r="D38" s="40" t="s">
        <v>40</v>
      </c>
      <c r="E38" s="31">
        <v>8</v>
      </c>
      <c r="F38" s="128">
        <f t="shared" si="124"/>
        <v>40</v>
      </c>
      <c r="G38" s="139">
        <v>16</v>
      </c>
      <c r="H38" s="139">
        <v>0</v>
      </c>
      <c r="I38" s="139">
        <v>0</v>
      </c>
      <c r="J38" s="243">
        <v>8</v>
      </c>
      <c r="K38" s="140">
        <v>0</v>
      </c>
      <c r="L38" t="s">
        <v>8</v>
      </c>
      <c r="M38" s="31">
        <f t="shared" si="125"/>
        <v>3232</v>
      </c>
      <c r="N38">
        <v>1</v>
      </c>
      <c r="O38" s="41">
        <f t="shared" si="126"/>
        <v>3272</v>
      </c>
      <c r="P38" s="41"/>
      <c r="Q38" s="108" t="s">
        <v>48</v>
      </c>
      <c r="R38" s="179" t="s">
        <v>91</v>
      </c>
      <c r="S38" s="186" t="str">
        <f t="shared" si="127"/>
        <v>BPD2009</v>
      </c>
      <c r="T38" s="186" t="str">
        <f t="shared" si="128"/>
        <v>B4.2.22009</v>
      </c>
      <c r="U38" s="186" t="s">
        <v>322</v>
      </c>
      <c r="V38"/>
      <c r="W38"/>
      <c r="X38"/>
      <c r="Y38"/>
      <c r="Z38"/>
      <c r="AA38" s="85">
        <v>2009</v>
      </c>
      <c r="AB38" s="2">
        <f t="shared" si="129"/>
        <v>16</v>
      </c>
      <c r="AC38" s="2">
        <f t="shared" si="130"/>
        <v>0</v>
      </c>
      <c r="AD38" s="2">
        <f t="shared" si="131"/>
        <v>0</v>
      </c>
      <c r="AE38" s="2">
        <f t="shared" si="132"/>
        <v>8</v>
      </c>
      <c r="AF38" s="2">
        <f t="shared" si="133"/>
        <v>0</v>
      </c>
      <c r="AG38" s="3">
        <f t="shared" si="134"/>
        <v>40</v>
      </c>
      <c r="AH38" s="73"/>
      <c r="AI38" s="2"/>
      <c r="AJ38" s="2"/>
      <c r="AL38" s="80">
        <f t="shared" si="135"/>
        <v>0</v>
      </c>
      <c r="AM38" s="10">
        <f t="shared" si="136"/>
        <v>0</v>
      </c>
      <c r="AN38" s="10">
        <f t="shared" si="137"/>
        <v>0</v>
      </c>
      <c r="AO38" s="10">
        <f t="shared" si="138"/>
        <v>0</v>
      </c>
      <c r="AP38" s="10">
        <f t="shared" si="139"/>
        <v>0</v>
      </c>
      <c r="AQ38" s="2">
        <f t="shared" si="140"/>
        <v>0</v>
      </c>
      <c r="AR38" s="73"/>
    </row>
    <row r="39" spans="1:44">
      <c r="A39" s="102" t="s">
        <v>186</v>
      </c>
      <c r="B39" s="40" t="s">
        <v>7</v>
      </c>
      <c r="C39">
        <v>20</v>
      </c>
      <c r="D39" s="40" t="s">
        <v>40</v>
      </c>
      <c r="E39" s="31">
        <v>8</v>
      </c>
      <c r="F39" s="128">
        <f t="shared" si="124"/>
        <v>160</v>
      </c>
      <c r="G39" s="139">
        <v>24</v>
      </c>
      <c r="H39" s="139">
        <v>8</v>
      </c>
      <c r="I39" s="139">
        <v>0</v>
      </c>
      <c r="J39" s="139">
        <v>8</v>
      </c>
      <c r="K39" s="140">
        <v>0</v>
      </c>
      <c r="L39" t="s">
        <v>8</v>
      </c>
      <c r="M39" s="31">
        <f t="shared" si="125"/>
        <v>5184</v>
      </c>
      <c r="N39">
        <v>1</v>
      </c>
      <c r="O39" s="41">
        <f t="shared" si="126"/>
        <v>5344</v>
      </c>
      <c r="P39" s="41"/>
      <c r="Q39" s="108" t="s">
        <v>48</v>
      </c>
      <c r="R39" s="179" t="s">
        <v>91</v>
      </c>
      <c r="S39" s="186" t="str">
        <f t="shared" si="127"/>
        <v>BPD2009</v>
      </c>
      <c r="T39" s="186" t="str">
        <f t="shared" si="128"/>
        <v>B4.2.22009</v>
      </c>
      <c r="U39" s="186" t="s">
        <v>322</v>
      </c>
      <c r="V39"/>
      <c r="W39"/>
      <c r="X39"/>
      <c r="Y39"/>
      <c r="Z39"/>
      <c r="AA39" s="85">
        <v>2009</v>
      </c>
      <c r="AB39" s="2">
        <f t="shared" si="129"/>
        <v>24</v>
      </c>
      <c r="AC39" s="2">
        <f t="shared" si="130"/>
        <v>8</v>
      </c>
      <c r="AD39" s="2">
        <f t="shared" si="131"/>
        <v>0</v>
      </c>
      <c r="AE39" s="2">
        <f t="shared" si="132"/>
        <v>8</v>
      </c>
      <c r="AF39" s="2">
        <f t="shared" si="133"/>
        <v>0</v>
      </c>
      <c r="AG39" s="3">
        <f t="shared" si="134"/>
        <v>160</v>
      </c>
      <c r="AH39" s="73"/>
      <c r="AI39" s="2"/>
      <c r="AJ39" s="2"/>
      <c r="AL39" s="80">
        <f t="shared" si="135"/>
        <v>0</v>
      </c>
      <c r="AM39" s="10">
        <f t="shared" si="136"/>
        <v>0</v>
      </c>
      <c r="AN39" s="10">
        <f t="shared" si="137"/>
        <v>0</v>
      </c>
      <c r="AO39" s="10">
        <f t="shared" si="138"/>
        <v>0</v>
      </c>
      <c r="AP39" s="10">
        <f t="shared" si="139"/>
        <v>0</v>
      </c>
      <c r="AQ39" s="2">
        <f t="shared" si="140"/>
        <v>0</v>
      </c>
      <c r="AR39" s="73"/>
    </row>
    <row r="40" spans="1:44">
      <c r="A40" s="102" t="s">
        <v>131</v>
      </c>
      <c r="B40" s="40" t="s">
        <v>7</v>
      </c>
      <c r="C40">
        <v>10</v>
      </c>
      <c r="D40" s="40" t="s">
        <v>40</v>
      </c>
      <c r="E40" s="31">
        <v>8</v>
      </c>
      <c r="F40" s="128">
        <f t="shared" si="124"/>
        <v>80</v>
      </c>
      <c r="G40" s="139">
        <v>16</v>
      </c>
      <c r="H40" s="139">
        <v>4</v>
      </c>
      <c r="I40" s="139">
        <v>0</v>
      </c>
      <c r="J40" s="243">
        <v>8</v>
      </c>
      <c r="K40" s="140">
        <v>0</v>
      </c>
      <c r="L40" t="s">
        <v>8</v>
      </c>
      <c r="M40" s="31">
        <f t="shared" si="125"/>
        <v>3700</v>
      </c>
      <c r="N40">
        <v>1</v>
      </c>
      <c r="O40" s="41">
        <f t="shared" si="126"/>
        <v>3780</v>
      </c>
      <c r="P40" s="41"/>
      <c r="Q40" s="108" t="s">
        <v>48</v>
      </c>
      <c r="R40" s="179" t="s">
        <v>91</v>
      </c>
      <c r="S40" s="186" t="str">
        <f t="shared" ref="S40:S43" si="154">CONCATENATE(Q40,R40,AA40)</f>
        <v>BPD2009</v>
      </c>
      <c r="T40" s="186" t="str">
        <f t="shared" si="128"/>
        <v>B4.2.22009</v>
      </c>
      <c r="U40" s="186" t="s">
        <v>322</v>
      </c>
      <c r="V40"/>
      <c r="W40"/>
      <c r="X40"/>
      <c r="Y40"/>
      <c r="Z40"/>
      <c r="AA40" s="85">
        <v>2009</v>
      </c>
      <c r="AB40" s="2">
        <f t="shared" ref="AB40:AB43" si="155">IF($Q40="B", (G40*$N40),0)</f>
        <v>16</v>
      </c>
      <c r="AC40" s="2">
        <f t="shared" ref="AC40:AC43" si="156">IF($Q40="B", (H40*$N40),0)</f>
        <v>4</v>
      </c>
      <c r="AD40" s="2">
        <f t="shared" ref="AD40:AD43" si="157">IF($Q40="B", (I40*$N40),0)</f>
        <v>0</v>
      </c>
      <c r="AE40" s="2">
        <f t="shared" ref="AE40:AE43" si="158">IF($Q40="B", (J40*$N40),0)</f>
        <v>8</v>
      </c>
      <c r="AF40" s="2">
        <f t="shared" ref="AF40:AF43" si="159">IF($Q40="B", (K40*$N40),0)</f>
        <v>0</v>
      </c>
      <c r="AG40" s="3">
        <f t="shared" ref="AG40:AG43" si="160">IF($Q40="B", (F40*$N40),0)</f>
        <v>80</v>
      </c>
      <c r="AH40" s="73"/>
      <c r="AI40" s="2"/>
      <c r="AJ40" s="2"/>
      <c r="AL40" s="80">
        <f t="shared" ref="AL40:AL43" si="161">IF($Q40="C", (G40*$N40),0)</f>
        <v>0</v>
      </c>
      <c r="AM40" s="10">
        <f t="shared" ref="AM40:AM43" si="162">IF($Q40="C", (H40*$N40),0)</f>
        <v>0</v>
      </c>
      <c r="AN40" s="10">
        <f t="shared" ref="AN40:AN43" si="163">IF($Q40="C", (I40*$N40),0)</f>
        <v>0</v>
      </c>
      <c r="AO40" s="10">
        <f t="shared" ref="AO40:AO43" si="164">IF($Q40="C", (J40*$N40),0)</f>
        <v>0</v>
      </c>
      <c r="AP40" s="10">
        <f t="shared" ref="AP40:AP43" si="165">IF($Q40="C", (K40*$N40),0)</f>
        <v>0</v>
      </c>
      <c r="AQ40" s="2">
        <f t="shared" ref="AQ40:AQ43" si="166">IF($Q40="C", (F40*$N40),0)</f>
        <v>0</v>
      </c>
      <c r="AR40" s="73"/>
    </row>
    <row r="41" spans="1:44">
      <c r="A41" s="102" t="s">
        <v>130</v>
      </c>
      <c r="B41" s="40" t="s">
        <v>7</v>
      </c>
      <c r="C41">
        <v>5</v>
      </c>
      <c r="D41" s="40" t="s">
        <v>40</v>
      </c>
      <c r="E41" s="31">
        <v>8</v>
      </c>
      <c r="F41" s="128">
        <f t="shared" si="124"/>
        <v>40</v>
      </c>
      <c r="G41" s="139">
        <v>4</v>
      </c>
      <c r="H41" s="139">
        <v>0</v>
      </c>
      <c r="I41" s="139">
        <v>0</v>
      </c>
      <c r="J41" s="139">
        <v>1</v>
      </c>
      <c r="K41" s="140">
        <v>0</v>
      </c>
      <c r="L41" t="s">
        <v>8</v>
      </c>
      <c r="M41" s="31">
        <f t="shared" si="125"/>
        <v>658</v>
      </c>
      <c r="N41">
        <v>1</v>
      </c>
      <c r="O41" s="41">
        <f t="shared" si="126"/>
        <v>698</v>
      </c>
      <c r="P41" s="41"/>
      <c r="Q41" s="108" t="s">
        <v>48</v>
      </c>
      <c r="R41" s="179" t="s">
        <v>91</v>
      </c>
      <c r="S41" s="186" t="str">
        <f t="shared" si="154"/>
        <v>BPD2009</v>
      </c>
      <c r="T41" s="186" t="str">
        <f t="shared" si="128"/>
        <v>B4.2.22009</v>
      </c>
      <c r="U41" s="186" t="s">
        <v>322</v>
      </c>
      <c r="V41"/>
      <c r="W41"/>
      <c r="X41"/>
      <c r="Y41"/>
      <c r="Z41"/>
      <c r="AA41" s="85">
        <v>2009</v>
      </c>
      <c r="AB41" s="2">
        <f t="shared" si="155"/>
        <v>4</v>
      </c>
      <c r="AC41" s="2">
        <f t="shared" si="156"/>
        <v>0</v>
      </c>
      <c r="AD41" s="2">
        <f t="shared" si="157"/>
        <v>0</v>
      </c>
      <c r="AE41" s="2">
        <f t="shared" si="158"/>
        <v>1</v>
      </c>
      <c r="AF41" s="2">
        <f t="shared" si="159"/>
        <v>0</v>
      </c>
      <c r="AG41" s="3">
        <f t="shared" si="160"/>
        <v>40</v>
      </c>
      <c r="AH41" s="73"/>
      <c r="AI41" s="2"/>
      <c r="AJ41" s="2"/>
      <c r="AL41" s="80">
        <f t="shared" si="161"/>
        <v>0</v>
      </c>
      <c r="AM41" s="10">
        <f t="shared" si="162"/>
        <v>0</v>
      </c>
      <c r="AN41" s="10">
        <f t="shared" si="163"/>
        <v>0</v>
      </c>
      <c r="AO41" s="10">
        <f t="shared" si="164"/>
        <v>0</v>
      </c>
      <c r="AP41" s="10">
        <f t="shared" si="165"/>
        <v>0</v>
      </c>
      <c r="AQ41" s="2">
        <f t="shared" si="166"/>
        <v>0</v>
      </c>
      <c r="AR41" s="73"/>
    </row>
    <row r="42" spans="1:44">
      <c r="A42" s="102" t="s">
        <v>129</v>
      </c>
      <c r="B42" s="40" t="s">
        <v>7</v>
      </c>
      <c r="C42">
        <v>5</v>
      </c>
      <c r="D42" s="40" t="s">
        <v>40</v>
      </c>
      <c r="E42" s="31">
        <v>8</v>
      </c>
      <c r="F42" s="128">
        <f t="shared" si="124"/>
        <v>40</v>
      </c>
      <c r="G42" s="139">
        <v>8</v>
      </c>
      <c r="H42" s="139">
        <v>0</v>
      </c>
      <c r="I42" s="139">
        <v>0</v>
      </c>
      <c r="J42" s="243">
        <v>8</v>
      </c>
      <c r="K42" s="140">
        <v>0</v>
      </c>
      <c r="L42" t="s">
        <v>8</v>
      </c>
      <c r="M42" s="31">
        <f t="shared" si="125"/>
        <v>2216</v>
      </c>
      <c r="N42">
        <v>1</v>
      </c>
      <c r="O42" s="41">
        <f t="shared" si="126"/>
        <v>2256</v>
      </c>
      <c r="P42" s="41"/>
      <c r="Q42" s="108" t="s">
        <v>48</v>
      </c>
      <c r="R42" s="179" t="s">
        <v>91</v>
      </c>
      <c r="S42" s="186" t="str">
        <f t="shared" ref="S42" si="167">CONCATENATE(Q42,R42,AA42)</f>
        <v>BPD2009</v>
      </c>
      <c r="T42" s="186" t="str">
        <f t="shared" si="128"/>
        <v>B4.2.22009</v>
      </c>
      <c r="U42" s="186" t="s">
        <v>322</v>
      </c>
      <c r="V42"/>
      <c r="W42"/>
      <c r="X42"/>
      <c r="Y42"/>
      <c r="Z42"/>
      <c r="AA42" s="85">
        <v>2009</v>
      </c>
      <c r="AB42" s="2">
        <f t="shared" ref="AB42" si="168">IF($Q42="B", (G42*$N42),0)</f>
        <v>8</v>
      </c>
      <c r="AC42" s="2">
        <f t="shared" ref="AC42" si="169">IF($Q42="B", (H42*$N42),0)</f>
        <v>0</v>
      </c>
      <c r="AD42" s="2">
        <f t="shared" ref="AD42" si="170">IF($Q42="B", (I42*$N42),0)</f>
        <v>0</v>
      </c>
      <c r="AE42" s="2">
        <f t="shared" ref="AE42" si="171">IF($Q42="B", (J42*$N42),0)</f>
        <v>8</v>
      </c>
      <c r="AF42" s="2">
        <f t="shared" ref="AF42" si="172">IF($Q42="B", (K42*$N42),0)</f>
        <v>0</v>
      </c>
      <c r="AG42" s="3">
        <f t="shared" ref="AG42" si="173">IF($Q42="B", (F42*$N42),0)</f>
        <v>40</v>
      </c>
      <c r="AH42" s="73"/>
      <c r="AI42" s="2"/>
      <c r="AJ42" s="2"/>
      <c r="AL42" s="80">
        <f t="shared" ref="AL42" si="174">IF($Q42="C", (G42*$N42),0)</f>
        <v>0</v>
      </c>
      <c r="AM42" s="10">
        <f t="shared" ref="AM42" si="175">IF($Q42="C", (H42*$N42),0)</f>
        <v>0</v>
      </c>
      <c r="AN42" s="10">
        <f t="shared" ref="AN42" si="176">IF($Q42="C", (I42*$N42),0)</f>
        <v>0</v>
      </c>
      <c r="AO42" s="10">
        <f t="shared" ref="AO42" si="177">IF($Q42="C", (J42*$N42),0)</f>
        <v>0</v>
      </c>
      <c r="AP42" s="10">
        <f t="shared" ref="AP42" si="178">IF($Q42="C", (K42*$N42),0)</f>
        <v>0</v>
      </c>
      <c r="AQ42" s="2">
        <f t="shared" ref="AQ42" si="179">IF($Q42="C", (F42*$N42),0)</f>
        <v>0</v>
      </c>
      <c r="AR42" s="73"/>
    </row>
    <row r="43" spans="1:44">
      <c r="A43" s="102" t="s">
        <v>128</v>
      </c>
      <c r="B43" s="40" t="s">
        <v>7</v>
      </c>
      <c r="C43">
        <v>5</v>
      </c>
      <c r="D43" s="40" t="s">
        <v>40</v>
      </c>
      <c r="E43" s="31">
        <v>8</v>
      </c>
      <c r="F43" s="128">
        <f t="shared" si="124"/>
        <v>40</v>
      </c>
      <c r="G43" s="139">
        <v>24</v>
      </c>
      <c r="H43" s="139">
        <v>8</v>
      </c>
      <c r="I43" s="139">
        <v>0</v>
      </c>
      <c r="J43" s="139">
        <v>8</v>
      </c>
      <c r="K43" s="140">
        <v>0</v>
      </c>
      <c r="L43" t="s">
        <v>8</v>
      </c>
      <c r="M43" s="31">
        <f t="shared" si="125"/>
        <v>5184</v>
      </c>
      <c r="N43">
        <v>1</v>
      </c>
      <c r="O43" s="41">
        <f t="shared" si="126"/>
        <v>5224</v>
      </c>
      <c r="P43" s="41"/>
      <c r="Q43" s="108" t="s">
        <v>48</v>
      </c>
      <c r="R43" s="179" t="s">
        <v>91</v>
      </c>
      <c r="S43" s="186" t="str">
        <f t="shared" si="154"/>
        <v>BPD2009</v>
      </c>
      <c r="T43" s="186" t="str">
        <f t="shared" si="128"/>
        <v>B4.2.22009</v>
      </c>
      <c r="U43" s="186" t="s">
        <v>322</v>
      </c>
      <c r="V43"/>
      <c r="W43"/>
      <c r="X43"/>
      <c r="Y43"/>
      <c r="Z43"/>
      <c r="AA43" s="85">
        <v>2009</v>
      </c>
      <c r="AB43" s="2">
        <f t="shared" si="155"/>
        <v>24</v>
      </c>
      <c r="AC43" s="2">
        <f t="shared" si="156"/>
        <v>8</v>
      </c>
      <c r="AD43" s="2">
        <f t="shared" si="157"/>
        <v>0</v>
      </c>
      <c r="AE43" s="2">
        <f t="shared" si="158"/>
        <v>8</v>
      </c>
      <c r="AF43" s="2">
        <f t="shared" si="159"/>
        <v>0</v>
      </c>
      <c r="AG43" s="3">
        <f t="shared" si="160"/>
        <v>40</v>
      </c>
      <c r="AH43" s="73"/>
      <c r="AI43" s="2"/>
      <c r="AJ43" s="2"/>
      <c r="AL43" s="80">
        <f t="shared" si="161"/>
        <v>0</v>
      </c>
      <c r="AM43" s="10">
        <f t="shared" si="162"/>
        <v>0</v>
      </c>
      <c r="AN43" s="10">
        <f t="shared" si="163"/>
        <v>0</v>
      </c>
      <c r="AO43" s="10">
        <f t="shared" si="164"/>
        <v>0</v>
      </c>
      <c r="AP43" s="10">
        <f t="shared" si="165"/>
        <v>0</v>
      </c>
      <c r="AQ43" s="2">
        <f t="shared" si="166"/>
        <v>0</v>
      </c>
      <c r="AR43" s="73"/>
    </row>
    <row r="44" spans="1:44">
      <c r="A44" s="102" t="s">
        <v>187</v>
      </c>
      <c r="B44" s="40" t="s">
        <v>7</v>
      </c>
      <c r="C44">
        <v>20</v>
      </c>
      <c r="D44" s="40" t="s">
        <v>40</v>
      </c>
      <c r="E44" s="31">
        <v>8</v>
      </c>
      <c r="F44" s="128">
        <f t="shared" ref="F44:F47" si="180">E44*C44</f>
        <v>160</v>
      </c>
      <c r="G44" s="139">
        <v>24</v>
      </c>
      <c r="H44" s="139">
        <v>4</v>
      </c>
      <c r="I44" s="139">
        <v>0</v>
      </c>
      <c r="J44" s="139">
        <v>8</v>
      </c>
      <c r="K44" s="140">
        <v>0</v>
      </c>
      <c r="L44" t="s">
        <v>8</v>
      </c>
      <c r="M44" s="31">
        <f t="shared" ref="M44:M47" si="181">((Shop*G44)+(M_Tech*H44)+(CMM*I44)+(ENG*J44)+(DES*K44))*N44</f>
        <v>0</v>
      </c>
      <c r="N44" s="242">
        <v>0</v>
      </c>
      <c r="O44" s="41">
        <f t="shared" ref="O44:O47" si="182">M44+(N44*F44)</f>
        <v>0</v>
      </c>
      <c r="P44" s="41"/>
      <c r="Q44" s="108" t="s">
        <v>49</v>
      </c>
      <c r="R44" s="179" t="s">
        <v>91</v>
      </c>
      <c r="S44" s="186" t="str">
        <f t="shared" ref="S44:S47" si="183">CONCATENATE(Q44,R44,AA44)</f>
        <v>CPD2009</v>
      </c>
      <c r="T44" s="186" t="str">
        <f t="shared" si="128"/>
        <v>C4.2.22009</v>
      </c>
      <c r="U44" s="186" t="s">
        <v>322</v>
      </c>
      <c r="V44"/>
      <c r="W44"/>
      <c r="X44"/>
      <c r="Y44"/>
      <c r="Z44"/>
      <c r="AA44" s="85">
        <v>2009</v>
      </c>
      <c r="AB44" s="2">
        <f t="shared" ref="AB44:AB47" si="184">IF($Q44="B", (G44*$N44),0)</f>
        <v>0</v>
      </c>
      <c r="AC44" s="2">
        <f t="shared" ref="AC44:AC47" si="185">IF($Q44="B", (H44*$N44),0)</f>
        <v>0</v>
      </c>
      <c r="AD44" s="2">
        <f t="shared" ref="AD44:AD47" si="186">IF($Q44="B", (I44*$N44),0)</f>
        <v>0</v>
      </c>
      <c r="AE44" s="2">
        <f t="shared" ref="AE44:AE47" si="187">IF($Q44="B", (J44*$N44),0)</f>
        <v>0</v>
      </c>
      <c r="AF44" s="2">
        <f t="shared" ref="AF44:AF47" si="188">IF($Q44="B", (K44*$N44),0)</f>
        <v>0</v>
      </c>
      <c r="AG44" s="3">
        <f t="shared" ref="AG44:AG47" si="189">IF($Q44="B", (F44*$N44),0)</f>
        <v>0</v>
      </c>
      <c r="AH44" s="73"/>
      <c r="AI44" s="2"/>
      <c r="AJ44" s="2"/>
      <c r="AL44" s="80">
        <f t="shared" ref="AL44:AL47" si="190">IF($Q44="C", (G44*$N44),0)</f>
        <v>0</v>
      </c>
      <c r="AM44" s="10">
        <f t="shared" ref="AM44:AM47" si="191">IF($Q44="C", (H44*$N44),0)</f>
        <v>0</v>
      </c>
      <c r="AN44" s="10">
        <f t="shared" ref="AN44:AN47" si="192">IF($Q44="C", (I44*$N44),0)</f>
        <v>0</v>
      </c>
      <c r="AO44" s="10">
        <f t="shared" ref="AO44:AO47" si="193">IF($Q44="C", (J44*$N44),0)</f>
        <v>0</v>
      </c>
      <c r="AP44" s="10">
        <f t="shared" ref="AP44:AP47" si="194">IF($Q44="C", (K44*$N44),0)</f>
        <v>0</v>
      </c>
      <c r="AQ44" s="2">
        <f t="shared" ref="AQ44:AQ47" si="195">IF($Q44="C", (F44*$N44),0)</f>
        <v>0</v>
      </c>
      <c r="AR44" s="73"/>
    </row>
    <row r="45" spans="1:44">
      <c r="A45" s="102" t="s">
        <v>188</v>
      </c>
      <c r="B45" s="40" t="s">
        <v>7</v>
      </c>
      <c r="C45">
        <v>5</v>
      </c>
      <c r="D45" s="40" t="s">
        <v>40</v>
      </c>
      <c r="E45" s="31">
        <v>8</v>
      </c>
      <c r="F45" s="128">
        <f t="shared" si="180"/>
        <v>40</v>
      </c>
      <c r="G45" s="139">
        <v>8</v>
      </c>
      <c r="H45" s="139">
        <v>2</v>
      </c>
      <c r="I45" s="139">
        <v>0</v>
      </c>
      <c r="J45" s="139">
        <v>0</v>
      </c>
      <c r="K45" s="140">
        <v>0</v>
      </c>
      <c r="L45" t="s">
        <v>8</v>
      </c>
      <c r="M45" s="31">
        <f t="shared" si="181"/>
        <v>0</v>
      </c>
      <c r="N45" s="242">
        <v>0</v>
      </c>
      <c r="O45" s="41">
        <f t="shared" si="182"/>
        <v>0</v>
      </c>
      <c r="P45" s="41"/>
      <c r="Q45" s="108" t="s">
        <v>49</v>
      </c>
      <c r="R45" s="179" t="s">
        <v>91</v>
      </c>
      <c r="S45" s="186" t="str">
        <f t="shared" si="183"/>
        <v>CPD2009</v>
      </c>
      <c r="T45" s="186" t="str">
        <f t="shared" si="128"/>
        <v>C4.2.22009</v>
      </c>
      <c r="U45" s="186" t="s">
        <v>322</v>
      </c>
      <c r="V45"/>
      <c r="W45"/>
      <c r="X45"/>
      <c r="Y45"/>
      <c r="Z45"/>
      <c r="AA45" s="85">
        <v>2009</v>
      </c>
      <c r="AB45" s="2">
        <f t="shared" si="184"/>
        <v>0</v>
      </c>
      <c r="AC45" s="2">
        <f t="shared" si="185"/>
        <v>0</v>
      </c>
      <c r="AD45" s="2">
        <f t="shared" si="186"/>
        <v>0</v>
      </c>
      <c r="AE45" s="2">
        <f t="shared" si="187"/>
        <v>0</v>
      </c>
      <c r="AF45" s="2">
        <f t="shared" si="188"/>
        <v>0</v>
      </c>
      <c r="AG45" s="3">
        <f t="shared" si="189"/>
        <v>0</v>
      </c>
      <c r="AH45" s="73"/>
      <c r="AI45" s="2"/>
      <c r="AJ45" s="2"/>
      <c r="AL45" s="80">
        <f t="shared" si="190"/>
        <v>0</v>
      </c>
      <c r="AM45" s="10">
        <f t="shared" si="191"/>
        <v>0</v>
      </c>
      <c r="AN45" s="10">
        <f t="shared" si="192"/>
        <v>0</v>
      </c>
      <c r="AO45" s="10">
        <f t="shared" si="193"/>
        <v>0</v>
      </c>
      <c r="AP45" s="10">
        <f t="shared" si="194"/>
        <v>0</v>
      </c>
      <c r="AQ45" s="2">
        <f t="shared" si="195"/>
        <v>0</v>
      </c>
      <c r="AR45" s="73"/>
    </row>
    <row r="46" spans="1:44">
      <c r="A46" s="102" t="s">
        <v>189</v>
      </c>
      <c r="B46" s="40" t="s">
        <v>7</v>
      </c>
      <c r="C46">
        <v>5</v>
      </c>
      <c r="D46" s="40" t="s">
        <v>40</v>
      </c>
      <c r="E46" s="31">
        <v>8</v>
      </c>
      <c r="F46" s="128">
        <f t="shared" si="180"/>
        <v>40</v>
      </c>
      <c r="G46" s="139">
        <v>16</v>
      </c>
      <c r="H46" s="139">
        <v>0</v>
      </c>
      <c r="I46" s="139">
        <v>0</v>
      </c>
      <c r="J46" s="139">
        <v>2</v>
      </c>
      <c r="K46" s="140">
        <v>0</v>
      </c>
      <c r="L46" t="s">
        <v>8</v>
      </c>
      <c r="M46" s="31">
        <f t="shared" si="181"/>
        <v>0</v>
      </c>
      <c r="N46" s="242">
        <v>0</v>
      </c>
      <c r="O46" s="41">
        <f t="shared" si="182"/>
        <v>0</v>
      </c>
      <c r="P46" s="41"/>
      <c r="Q46" s="108" t="s">
        <v>49</v>
      </c>
      <c r="R46" s="179" t="s">
        <v>91</v>
      </c>
      <c r="S46" s="186" t="str">
        <f t="shared" si="183"/>
        <v>CPD2009</v>
      </c>
      <c r="T46" s="186" t="str">
        <f t="shared" si="128"/>
        <v>C4.2.22009</v>
      </c>
      <c r="U46" s="186" t="s">
        <v>322</v>
      </c>
      <c r="V46"/>
      <c r="W46"/>
      <c r="X46"/>
      <c r="Y46"/>
      <c r="Z46"/>
      <c r="AA46" s="85">
        <v>2009</v>
      </c>
      <c r="AB46" s="2">
        <f t="shared" si="184"/>
        <v>0</v>
      </c>
      <c r="AC46" s="2">
        <f t="shared" si="185"/>
        <v>0</v>
      </c>
      <c r="AD46" s="2">
        <f t="shared" si="186"/>
        <v>0</v>
      </c>
      <c r="AE46" s="2">
        <f t="shared" si="187"/>
        <v>0</v>
      </c>
      <c r="AF46" s="2">
        <f t="shared" si="188"/>
        <v>0</v>
      </c>
      <c r="AG46" s="3">
        <f t="shared" si="189"/>
        <v>0</v>
      </c>
      <c r="AH46" s="73"/>
      <c r="AI46" s="2"/>
      <c r="AJ46" s="2"/>
      <c r="AL46" s="80">
        <f t="shared" si="190"/>
        <v>0</v>
      </c>
      <c r="AM46" s="10">
        <f t="shared" si="191"/>
        <v>0</v>
      </c>
      <c r="AN46" s="10">
        <f t="shared" si="192"/>
        <v>0</v>
      </c>
      <c r="AO46" s="10">
        <f t="shared" si="193"/>
        <v>0</v>
      </c>
      <c r="AP46" s="10">
        <f t="shared" si="194"/>
        <v>0</v>
      </c>
      <c r="AQ46" s="2">
        <f t="shared" si="195"/>
        <v>0</v>
      </c>
      <c r="AR46" s="73"/>
    </row>
    <row r="47" spans="1:44">
      <c r="A47" s="102" t="s">
        <v>190</v>
      </c>
      <c r="B47" s="40" t="s">
        <v>7</v>
      </c>
      <c r="C47">
        <v>20</v>
      </c>
      <c r="D47" s="40" t="s">
        <v>40</v>
      </c>
      <c r="E47" s="31">
        <v>8</v>
      </c>
      <c r="F47" s="128">
        <f t="shared" si="180"/>
        <v>160</v>
      </c>
      <c r="G47" s="139">
        <v>24</v>
      </c>
      <c r="H47" s="139">
        <v>8</v>
      </c>
      <c r="I47" s="139">
        <v>0</v>
      </c>
      <c r="J47" s="139">
        <v>8</v>
      </c>
      <c r="K47" s="140">
        <v>0</v>
      </c>
      <c r="L47" t="s">
        <v>8</v>
      </c>
      <c r="M47" s="31">
        <f t="shared" si="181"/>
        <v>0</v>
      </c>
      <c r="N47" s="242">
        <v>0</v>
      </c>
      <c r="O47" s="41">
        <f t="shared" si="182"/>
        <v>0</v>
      </c>
      <c r="P47" s="41"/>
      <c r="Q47" s="108" t="s">
        <v>49</v>
      </c>
      <c r="R47" s="179" t="s">
        <v>91</v>
      </c>
      <c r="S47" s="186" t="str">
        <f t="shared" si="183"/>
        <v>CPD2009</v>
      </c>
      <c r="T47" s="186" t="str">
        <f t="shared" si="128"/>
        <v>C4.2.22009</v>
      </c>
      <c r="U47" s="186" t="s">
        <v>322</v>
      </c>
      <c r="V47"/>
      <c r="W47"/>
      <c r="X47"/>
      <c r="Y47"/>
      <c r="Z47"/>
      <c r="AA47" s="85">
        <v>2009</v>
      </c>
      <c r="AB47" s="2">
        <f t="shared" si="184"/>
        <v>0</v>
      </c>
      <c r="AC47" s="2">
        <f t="shared" si="185"/>
        <v>0</v>
      </c>
      <c r="AD47" s="2">
        <f t="shared" si="186"/>
        <v>0</v>
      </c>
      <c r="AE47" s="2">
        <f t="shared" si="187"/>
        <v>0</v>
      </c>
      <c r="AF47" s="2">
        <f t="shared" si="188"/>
        <v>0</v>
      </c>
      <c r="AG47" s="3">
        <f t="shared" si="189"/>
        <v>0</v>
      </c>
      <c r="AH47" s="73"/>
      <c r="AI47" s="2"/>
      <c r="AJ47" s="2"/>
      <c r="AL47" s="80">
        <f t="shared" si="190"/>
        <v>0</v>
      </c>
      <c r="AM47" s="10">
        <f t="shared" si="191"/>
        <v>0</v>
      </c>
      <c r="AN47" s="10">
        <f t="shared" si="192"/>
        <v>0</v>
      </c>
      <c r="AO47" s="10">
        <f t="shared" si="193"/>
        <v>0</v>
      </c>
      <c r="AP47" s="10">
        <f t="shared" si="194"/>
        <v>0</v>
      </c>
      <c r="AQ47" s="2">
        <f t="shared" si="195"/>
        <v>0</v>
      </c>
      <c r="AR47" s="73"/>
    </row>
    <row r="48" spans="1:44">
      <c r="A48" s="102" t="s">
        <v>191</v>
      </c>
      <c r="B48" s="40" t="s">
        <v>7</v>
      </c>
      <c r="C48">
        <v>40</v>
      </c>
      <c r="D48" s="40" t="s">
        <v>40</v>
      </c>
      <c r="E48" s="31">
        <v>8</v>
      </c>
      <c r="F48" s="128">
        <f t="shared" ref="F48:F50" si="196">E48*C48</f>
        <v>320</v>
      </c>
      <c r="G48" s="139">
        <v>24</v>
      </c>
      <c r="H48" s="139">
        <v>4</v>
      </c>
      <c r="I48" s="139">
        <v>0</v>
      </c>
      <c r="J48" s="139">
        <v>8</v>
      </c>
      <c r="K48" s="140">
        <v>0</v>
      </c>
      <c r="L48" t="s">
        <v>8</v>
      </c>
      <c r="M48" s="31">
        <f t="shared" ref="M48:M50" si="197">((Shop*G48)+(M_Tech*H48)+(CMM*I48)+(ENG*J48)+(DES*K48))*N48</f>
        <v>0</v>
      </c>
      <c r="N48" s="242">
        <v>0</v>
      </c>
      <c r="O48" s="41">
        <f t="shared" ref="O48:O50" si="198">M48+(N48*F48)</f>
        <v>0</v>
      </c>
      <c r="P48" s="41"/>
      <c r="Q48" s="108" t="s">
        <v>48</v>
      </c>
      <c r="R48" s="179" t="s">
        <v>91</v>
      </c>
      <c r="S48" s="186" t="str">
        <f t="shared" ref="S48:S50" si="199">CONCATENATE(Q48,R48,AA48)</f>
        <v>BPD2009</v>
      </c>
      <c r="T48" s="186" t="str">
        <f t="shared" si="128"/>
        <v>B4.2.22009</v>
      </c>
      <c r="U48" s="186" t="s">
        <v>322</v>
      </c>
      <c r="V48"/>
      <c r="W48"/>
      <c r="X48"/>
      <c r="Y48"/>
      <c r="Z48"/>
      <c r="AA48" s="85">
        <v>2009</v>
      </c>
      <c r="AB48" s="2">
        <f t="shared" ref="AB48:AB50" si="200">IF($Q48="B", (G48*$N48),0)</f>
        <v>0</v>
      </c>
      <c r="AC48" s="2">
        <f t="shared" ref="AC48:AC50" si="201">IF($Q48="B", (H48*$N48),0)</f>
        <v>0</v>
      </c>
      <c r="AD48" s="2">
        <f t="shared" ref="AD48:AD50" si="202">IF($Q48="B", (I48*$N48),0)</f>
        <v>0</v>
      </c>
      <c r="AE48" s="2">
        <f t="shared" ref="AE48:AE50" si="203">IF($Q48="B", (J48*$N48),0)</f>
        <v>0</v>
      </c>
      <c r="AF48" s="2">
        <f t="shared" ref="AF48:AF50" si="204">IF($Q48="B", (K48*$N48),0)</f>
        <v>0</v>
      </c>
      <c r="AG48" s="3">
        <f t="shared" ref="AG48:AG50" si="205">IF($Q48="B", (F48*$N48),0)</f>
        <v>0</v>
      </c>
      <c r="AH48" s="73"/>
      <c r="AI48" s="2"/>
      <c r="AJ48" s="2"/>
      <c r="AL48" s="80">
        <f t="shared" ref="AL48:AL50" si="206">IF($Q48="C", (G48*$N48),0)</f>
        <v>0</v>
      </c>
      <c r="AM48" s="10">
        <f t="shared" ref="AM48:AM50" si="207">IF($Q48="C", (H48*$N48),0)</f>
        <v>0</v>
      </c>
      <c r="AN48" s="10">
        <f t="shared" ref="AN48:AN50" si="208">IF($Q48="C", (I48*$N48),0)</f>
        <v>0</v>
      </c>
      <c r="AO48" s="10">
        <f t="shared" ref="AO48:AO50" si="209">IF($Q48="C", (J48*$N48),0)</f>
        <v>0</v>
      </c>
      <c r="AP48" s="10">
        <f t="shared" ref="AP48:AP50" si="210">IF($Q48="C", (K48*$N48),0)</f>
        <v>0</v>
      </c>
      <c r="AQ48" s="2">
        <f t="shared" ref="AQ48:AQ50" si="211">IF($Q48="C", (F48*$N48),0)</f>
        <v>0</v>
      </c>
      <c r="AR48" s="73"/>
    </row>
    <row r="49" spans="1:44">
      <c r="A49" s="102" t="s">
        <v>192</v>
      </c>
      <c r="B49" s="40" t="s">
        <v>7</v>
      </c>
      <c r="C49">
        <v>10</v>
      </c>
      <c r="D49" s="40" t="s">
        <v>40</v>
      </c>
      <c r="E49" s="31">
        <v>8</v>
      </c>
      <c r="F49" s="128">
        <f t="shared" si="196"/>
        <v>80</v>
      </c>
      <c r="G49" s="139">
        <v>8</v>
      </c>
      <c r="H49" s="139">
        <v>2</v>
      </c>
      <c r="I49" s="139">
        <v>0</v>
      </c>
      <c r="J49" s="139">
        <v>0</v>
      </c>
      <c r="K49" s="140">
        <v>0</v>
      </c>
      <c r="L49" t="s">
        <v>8</v>
      </c>
      <c r="M49" s="31">
        <f t="shared" si="197"/>
        <v>0</v>
      </c>
      <c r="N49" s="242">
        <v>0</v>
      </c>
      <c r="O49" s="41">
        <f t="shared" si="198"/>
        <v>0</v>
      </c>
      <c r="P49" s="41"/>
      <c r="Q49" s="108" t="s">
        <v>48</v>
      </c>
      <c r="R49" s="179" t="s">
        <v>91</v>
      </c>
      <c r="S49" s="186" t="str">
        <f t="shared" si="199"/>
        <v>BPD2009</v>
      </c>
      <c r="T49" s="186" t="str">
        <f t="shared" si="128"/>
        <v>B4.2.22009</v>
      </c>
      <c r="U49" s="186" t="s">
        <v>322</v>
      </c>
      <c r="V49"/>
      <c r="W49"/>
      <c r="X49"/>
      <c r="Y49"/>
      <c r="Z49"/>
      <c r="AA49" s="85">
        <v>2009</v>
      </c>
      <c r="AB49" s="2">
        <f t="shared" si="200"/>
        <v>0</v>
      </c>
      <c r="AC49" s="2">
        <f t="shared" si="201"/>
        <v>0</v>
      </c>
      <c r="AD49" s="2">
        <f t="shared" si="202"/>
        <v>0</v>
      </c>
      <c r="AE49" s="2">
        <f t="shared" si="203"/>
        <v>0</v>
      </c>
      <c r="AF49" s="2">
        <f t="shared" si="204"/>
        <v>0</v>
      </c>
      <c r="AG49" s="3">
        <f t="shared" si="205"/>
        <v>0</v>
      </c>
      <c r="AH49" s="73"/>
      <c r="AI49" s="2"/>
      <c r="AJ49" s="2"/>
      <c r="AL49" s="80">
        <f t="shared" si="206"/>
        <v>0</v>
      </c>
      <c r="AM49" s="10">
        <f t="shared" si="207"/>
        <v>0</v>
      </c>
      <c r="AN49" s="10">
        <f t="shared" si="208"/>
        <v>0</v>
      </c>
      <c r="AO49" s="10">
        <f t="shared" si="209"/>
        <v>0</v>
      </c>
      <c r="AP49" s="10">
        <f t="shared" si="210"/>
        <v>0</v>
      </c>
      <c r="AQ49" s="2">
        <f t="shared" si="211"/>
        <v>0</v>
      </c>
      <c r="AR49" s="73"/>
    </row>
    <row r="50" spans="1:44">
      <c r="A50" s="102" t="s">
        <v>193</v>
      </c>
      <c r="B50" s="40" t="s">
        <v>7</v>
      </c>
      <c r="C50">
        <v>5</v>
      </c>
      <c r="D50" s="40" t="s">
        <v>40</v>
      </c>
      <c r="E50" s="31">
        <v>8</v>
      </c>
      <c r="F50" s="128">
        <f t="shared" si="196"/>
        <v>40</v>
      </c>
      <c r="G50" s="139">
        <v>16</v>
      </c>
      <c r="H50" s="139">
        <v>0</v>
      </c>
      <c r="I50" s="139">
        <v>0</v>
      </c>
      <c r="J50" s="139">
        <v>2</v>
      </c>
      <c r="K50" s="140">
        <v>0</v>
      </c>
      <c r="L50" t="s">
        <v>8</v>
      </c>
      <c r="M50" s="31">
        <f t="shared" si="197"/>
        <v>0</v>
      </c>
      <c r="N50" s="242">
        <v>0</v>
      </c>
      <c r="O50" s="41">
        <f t="shared" si="198"/>
        <v>0</v>
      </c>
      <c r="P50" s="41"/>
      <c r="Q50" s="108" t="s">
        <v>48</v>
      </c>
      <c r="R50" s="179" t="s">
        <v>91</v>
      </c>
      <c r="S50" s="186" t="str">
        <f t="shared" si="199"/>
        <v>BPD2009</v>
      </c>
      <c r="T50" s="186" t="str">
        <f t="shared" si="128"/>
        <v>B4.2.22009</v>
      </c>
      <c r="U50" s="186" t="s">
        <v>322</v>
      </c>
      <c r="V50"/>
      <c r="W50"/>
      <c r="X50"/>
      <c r="Y50"/>
      <c r="Z50"/>
      <c r="AA50" s="85">
        <v>2009</v>
      </c>
      <c r="AB50" s="2">
        <f t="shared" si="200"/>
        <v>0</v>
      </c>
      <c r="AC50" s="2">
        <f t="shared" si="201"/>
        <v>0</v>
      </c>
      <c r="AD50" s="2">
        <f t="shared" si="202"/>
        <v>0</v>
      </c>
      <c r="AE50" s="2">
        <f t="shared" si="203"/>
        <v>0</v>
      </c>
      <c r="AF50" s="2">
        <f t="shared" si="204"/>
        <v>0</v>
      </c>
      <c r="AG50" s="3">
        <f t="shared" si="205"/>
        <v>0</v>
      </c>
      <c r="AH50" s="73"/>
      <c r="AI50" s="2"/>
      <c r="AJ50" s="2"/>
      <c r="AL50" s="80">
        <f t="shared" si="206"/>
        <v>0</v>
      </c>
      <c r="AM50" s="10">
        <f t="shared" si="207"/>
        <v>0</v>
      </c>
      <c r="AN50" s="10">
        <f t="shared" si="208"/>
        <v>0</v>
      </c>
      <c r="AO50" s="10">
        <f t="shared" si="209"/>
        <v>0</v>
      </c>
      <c r="AP50" s="10">
        <f t="shared" si="210"/>
        <v>0</v>
      </c>
      <c r="AQ50" s="2">
        <f t="shared" si="211"/>
        <v>0</v>
      </c>
      <c r="AR50" s="73"/>
    </row>
    <row r="51" spans="1:44">
      <c r="A51" s="103" t="s">
        <v>132</v>
      </c>
      <c r="E51" s="120"/>
      <c r="F51" s="129"/>
      <c r="G51" s="143"/>
      <c r="H51" s="143"/>
      <c r="I51" s="143"/>
      <c r="J51" s="143"/>
      <c r="K51" s="144"/>
      <c r="L51" s="169" t="s">
        <v>78</v>
      </c>
      <c r="M51" s="170">
        <f>SUMIF(Q36:Q50,"B",M36:M50)</f>
        <v>26140</v>
      </c>
      <c r="N51" s="169" t="s">
        <v>78</v>
      </c>
      <c r="O51" s="41"/>
      <c r="P51" s="41"/>
      <c r="Q51" s="108"/>
      <c r="R51" s="179"/>
      <c r="S51" s="186"/>
      <c r="T51" s="186"/>
      <c r="U51" s="186"/>
      <c r="V51"/>
      <c r="W51"/>
      <c r="X51"/>
      <c r="Y51"/>
      <c r="Z51"/>
      <c r="AA51" s="85"/>
      <c r="AB51" s="10"/>
      <c r="AC51" s="10"/>
      <c r="AD51" s="29"/>
      <c r="AE51" s="10"/>
      <c r="AF51" s="10"/>
      <c r="AG51" s="3"/>
      <c r="AH51" s="73"/>
      <c r="AI51" s="2"/>
      <c r="AJ51" s="2"/>
      <c r="AL51" s="80"/>
      <c r="AM51" s="10"/>
      <c r="AN51" s="10"/>
      <c r="AO51" s="10"/>
      <c r="AP51" s="10"/>
      <c r="AQ51" s="2"/>
      <c r="AR51" s="73"/>
    </row>
    <row r="52" spans="1:44">
      <c r="A52" s="102" t="s">
        <v>198</v>
      </c>
      <c r="B52" s="40" t="s">
        <v>71</v>
      </c>
      <c r="C52">
        <v>0</v>
      </c>
      <c r="D52" s="40" t="s">
        <v>9</v>
      </c>
      <c r="E52" s="31">
        <v>0</v>
      </c>
      <c r="F52" s="128">
        <f t="shared" ref="F52:F63" si="212">E52*C52</f>
        <v>0</v>
      </c>
      <c r="G52" s="139">
        <v>4</v>
      </c>
      <c r="H52" s="243">
        <v>10</v>
      </c>
      <c r="I52" s="139">
        <v>0</v>
      </c>
      <c r="J52" s="139">
        <v>2</v>
      </c>
      <c r="K52" s="140">
        <v>0</v>
      </c>
      <c r="L52" t="s">
        <v>8</v>
      </c>
      <c r="M52" s="31">
        <f t="shared" ref="M52:M63" si="213">((Shop*G52)+(M_Tech*H52)+(CMM*I52)+(ENG*J52)+(DES*K52))*N52</f>
        <v>7912</v>
      </c>
      <c r="N52">
        <v>4</v>
      </c>
      <c r="O52" s="41">
        <f t="shared" ref="O52:O63" si="214">M52+(N52*F52)</f>
        <v>7912</v>
      </c>
      <c r="P52" s="41"/>
      <c r="Q52" s="108" t="s">
        <v>48</v>
      </c>
      <c r="R52" s="179" t="s">
        <v>91</v>
      </c>
      <c r="S52" s="186" t="str">
        <f t="shared" ref="S52:S57" si="215">CONCATENATE(Q52,R52,AA52)</f>
        <v>BPD2009</v>
      </c>
      <c r="T52" s="186" t="str">
        <f t="shared" ref="T52:T63" si="216">CONCATENATE(Q52,U52,AA52)</f>
        <v>B4.2.32009</v>
      </c>
      <c r="U52" s="186" t="s">
        <v>321</v>
      </c>
      <c r="V52"/>
      <c r="W52"/>
      <c r="X52"/>
      <c r="Y52"/>
      <c r="Z52"/>
      <c r="AA52" s="85">
        <v>2009</v>
      </c>
      <c r="AB52" s="2">
        <f t="shared" ref="AB52:AB57" si="217">IF($Q52="B", (G52*$N52),0)</f>
        <v>16</v>
      </c>
      <c r="AC52" s="2">
        <f t="shared" ref="AC52:AC57" si="218">IF($Q52="B", (H52*$N52),0)</f>
        <v>40</v>
      </c>
      <c r="AD52" s="2">
        <f t="shared" ref="AD52:AD57" si="219">IF($Q52="B", (I52*$N52),0)</f>
        <v>0</v>
      </c>
      <c r="AE52" s="2">
        <f t="shared" ref="AE52:AE57" si="220">IF($Q52="B", (J52*$N52),0)</f>
        <v>8</v>
      </c>
      <c r="AF52" s="2">
        <f t="shared" ref="AF52:AF57" si="221">IF($Q52="B", (K52*$N52),0)</f>
        <v>0</v>
      </c>
      <c r="AG52" s="3">
        <f t="shared" ref="AG52:AG57" si="222">IF($Q52="B", (F52*$N52),0)</f>
        <v>0</v>
      </c>
      <c r="AH52" s="73"/>
      <c r="AI52" s="2"/>
      <c r="AJ52" s="2"/>
      <c r="AL52" s="80">
        <f t="shared" ref="AL52:AL57" si="223">IF($Q52="C", (G52*$N52),0)</f>
        <v>0</v>
      </c>
      <c r="AM52" s="10">
        <f t="shared" ref="AM52:AM57" si="224">IF($Q52="C", (H52*$N52),0)</f>
        <v>0</v>
      </c>
      <c r="AN52" s="10">
        <f t="shared" ref="AN52:AN57" si="225">IF($Q52="C", (I52*$N52),0)</f>
        <v>0</v>
      </c>
      <c r="AO52" s="10">
        <f t="shared" ref="AO52:AO57" si="226">IF($Q52="C", (J52*$N52),0)</f>
        <v>0</v>
      </c>
      <c r="AP52" s="10">
        <f t="shared" ref="AP52:AP57" si="227">IF($Q52="C", (K52*$N52),0)</f>
        <v>0</v>
      </c>
      <c r="AQ52" s="2">
        <f t="shared" ref="AQ52:AQ57" si="228">IF($Q52="C", (F52*$N52),0)</f>
        <v>0</v>
      </c>
      <c r="AR52" s="73"/>
    </row>
    <row r="53" spans="1:44">
      <c r="A53" s="102" t="s">
        <v>203</v>
      </c>
      <c r="B53" s="40" t="s">
        <v>71</v>
      </c>
      <c r="C53">
        <v>0</v>
      </c>
      <c r="D53" s="40" t="s">
        <v>9</v>
      </c>
      <c r="E53" s="31">
        <v>0</v>
      </c>
      <c r="F53" s="128">
        <f t="shared" si="212"/>
        <v>0</v>
      </c>
      <c r="G53" s="139">
        <v>4</v>
      </c>
      <c r="H53" s="243">
        <v>10</v>
      </c>
      <c r="I53" s="139">
        <v>0</v>
      </c>
      <c r="J53" s="139">
        <v>2</v>
      </c>
      <c r="K53" s="140">
        <v>0</v>
      </c>
      <c r="L53" t="s">
        <v>8</v>
      </c>
      <c r="M53" s="31">
        <f t="shared" si="213"/>
        <v>7912</v>
      </c>
      <c r="N53">
        <v>4</v>
      </c>
      <c r="O53" s="41">
        <f t="shared" si="214"/>
        <v>7912</v>
      </c>
      <c r="P53" s="41"/>
      <c r="Q53" s="108" t="s">
        <v>48</v>
      </c>
      <c r="R53" s="179" t="s">
        <v>91</v>
      </c>
      <c r="S53" s="186" t="str">
        <f t="shared" si="215"/>
        <v>BPD2009</v>
      </c>
      <c r="T53" s="186" t="str">
        <f t="shared" si="216"/>
        <v>B4.2.32009</v>
      </c>
      <c r="U53" s="186" t="s">
        <v>321</v>
      </c>
      <c r="V53"/>
      <c r="W53"/>
      <c r="X53"/>
      <c r="Y53"/>
      <c r="Z53"/>
      <c r="AA53" s="85">
        <v>2009</v>
      </c>
      <c r="AB53" s="2">
        <f t="shared" si="217"/>
        <v>16</v>
      </c>
      <c r="AC53" s="2">
        <f t="shared" si="218"/>
        <v>40</v>
      </c>
      <c r="AD53" s="2">
        <f t="shared" si="219"/>
        <v>0</v>
      </c>
      <c r="AE53" s="2">
        <f t="shared" si="220"/>
        <v>8</v>
      </c>
      <c r="AF53" s="2">
        <f t="shared" si="221"/>
        <v>0</v>
      </c>
      <c r="AG53" s="3">
        <f t="shared" si="222"/>
        <v>0</v>
      </c>
      <c r="AH53" s="73"/>
      <c r="AI53" s="2"/>
      <c r="AJ53" s="2"/>
      <c r="AL53" s="80">
        <f t="shared" si="223"/>
        <v>0</v>
      </c>
      <c r="AM53" s="10">
        <f t="shared" si="224"/>
        <v>0</v>
      </c>
      <c r="AN53" s="10">
        <f t="shared" si="225"/>
        <v>0</v>
      </c>
      <c r="AO53" s="10">
        <f t="shared" si="226"/>
        <v>0</v>
      </c>
      <c r="AP53" s="10">
        <f t="shared" si="227"/>
        <v>0</v>
      </c>
      <c r="AQ53" s="2">
        <f t="shared" si="228"/>
        <v>0</v>
      </c>
      <c r="AR53" s="73"/>
    </row>
    <row r="54" spans="1:44">
      <c r="A54" s="102" t="s">
        <v>202</v>
      </c>
      <c r="B54" s="40" t="s">
        <v>71</v>
      </c>
      <c r="C54">
        <v>0</v>
      </c>
      <c r="D54" s="40" t="s">
        <v>9</v>
      </c>
      <c r="E54" s="31">
        <v>0</v>
      </c>
      <c r="F54" s="128">
        <f t="shared" ref="F54:F55" si="229">E54*C54</f>
        <v>0</v>
      </c>
      <c r="G54" s="139">
        <v>4</v>
      </c>
      <c r="H54" s="139">
        <v>8</v>
      </c>
      <c r="I54" s="139">
        <v>0</v>
      </c>
      <c r="J54" s="139">
        <v>2</v>
      </c>
      <c r="K54" s="140">
        <v>0</v>
      </c>
      <c r="L54" t="s">
        <v>8</v>
      </c>
      <c r="M54" s="31">
        <f t="shared" ref="M54:M55" si="230">((Shop*G54)+(M_Tech*H54)+(CMM*I54)+(ENG*J54)+(DES*K54))*N54</f>
        <v>0</v>
      </c>
      <c r="N54" s="242">
        <v>0</v>
      </c>
      <c r="O54" s="41">
        <f t="shared" ref="O54:O55" si="231">M54+(N54*F54)</f>
        <v>0</v>
      </c>
      <c r="P54" s="41"/>
      <c r="Q54" s="108" t="s">
        <v>49</v>
      </c>
      <c r="R54" s="179" t="s">
        <v>91</v>
      </c>
      <c r="S54" s="186" t="str">
        <f t="shared" ref="S54:S55" si="232">CONCATENATE(Q54,R54,AA54)</f>
        <v>CPD2009</v>
      </c>
      <c r="T54" s="186" t="str">
        <f t="shared" si="216"/>
        <v>C4.2.32009</v>
      </c>
      <c r="U54" s="186" t="s">
        <v>321</v>
      </c>
      <c r="V54"/>
      <c r="W54"/>
      <c r="X54"/>
      <c r="Y54"/>
      <c r="Z54"/>
      <c r="AA54" s="85">
        <v>2009</v>
      </c>
      <c r="AB54" s="2">
        <f t="shared" ref="AB54:AB55" si="233">IF($Q54="B", (G54*$N54),0)</f>
        <v>0</v>
      </c>
      <c r="AC54" s="2">
        <f t="shared" ref="AC54:AC55" si="234">IF($Q54="B", (H54*$N54),0)</f>
        <v>0</v>
      </c>
      <c r="AD54" s="2">
        <f t="shared" ref="AD54:AD55" si="235">IF($Q54="B", (I54*$N54),0)</f>
        <v>0</v>
      </c>
      <c r="AE54" s="2">
        <f t="shared" ref="AE54:AE55" si="236">IF($Q54="B", (J54*$N54),0)</f>
        <v>0</v>
      </c>
      <c r="AF54" s="2">
        <f t="shared" ref="AF54:AF55" si="237">IF($Q54="B", (K54*$N54),0)</f>
        <v>0</v>
      </c>
      <c r="AG54" s="3">
        <f t="shared" ref="AG54:AG55" si="238">IF($Q54="B", (F54*$N54),0)</f>
        <v>0</v>
      </c>
      <c r="AH54" s="73"/>
      <c r="AI54" s="2"/>
      <c r="AJ54" s="2"/>
      <c r="AL54" s="80">
        <f t="shared" ref="AL54:AL55" si="239">IF($Q54="C", (G54*$N54),0)</f>
        <v>0</v>
      </c>
      <c r="AM54" s="10">
        <f t="shared" ref="AM54:AM55" si="240">IF($Q54="C", (H54*$N54),0)</f>
        <v>0</v>
      </c>
      <c r="AN54" s="10">
        <f t="shared" ref="AN54:AN55" si="241">IF($Q54="C", (I54*$N54),0)</f>
        <v>0</v>
      </c>
      <c r="AO54" s="10">
        <f t="shared" ref="AO54:AO55" si="242">IF($Q54="C", (J54*$N54),0)</f>
        <v>0</v>
      </c>
      <c r="AP54" s="10">
        <f t="shared" ref="AP54:AP55" si="243">IF($Q54="C", (K54*$N54),0)</f>
        <v>0</v>
      </c>
      <c r="AQ54" s="2">
        <f t="shared" ref="AQ54:AQ55" si="244">IF($Q54="C", (F54*$N54),0)</f>
        <v>0</v>
      </c>
      <c r="AR54" s="73"/>
    </row>
    <row r="55" spans="1:44">
      <c r="A55" s="102" t="s">
        <v>204</v>
      </c>
      <c r="B55" s="40" t="s">
        <v>71</v>
      </c>
      <c r="C55">
        <v>0</v>
      </c>
      <c r="D55" s="40" t="s">
        <v>9</v>
      </c>
      <c r="E55" s="31">
        <v>0</v>
      </c>
      <c r="F55" s="128">
        <f t="shared" si="229"/>
        <v>0</v>
      </c>
      <c r="G55" s="139">
        <v>4</v>
      </c>
      <c r="H55" s="139">
        <v>8</v>
      </c>
      <c r="I55" s="139">
        <v>0</v>
      </c>
      <c r="J55" s="139">
        <v>2</v>
      </c>
      <c r="K55" s="140">
        <v>0</v>
      </c>
      <c r="L55" t="s">
        <v>8</v>
      </c>
      <c r="M55" s="31">
        <f t="shared" si="230"/>
        <v>0</v>
      </c>
      <c r="N55" s="242">
        <v>0</v>
      </c>
      <c r="O55" s="41">
        <f t="shared" si="231"/>
        <v>0</v>
      </c>
      <c r="P55" s="41"/>
      <c r="Q55" s="108" t="s">
        <v>48</v>
      </c>
      <c r="R55" s="179" t="s">
        <v>91</v>
      </c>
      <c r="S55" s="186" t="str">
        <f t="shared" si="232"/>
        <v>BPD2009</v>
      </c>
      <c r="T55" s="186" t="str">
        <f t="shared" si="216"/>
        <v>B4.2.32009</v>
      </c>
      <c r="U55" s="186" t="s">
        <v>321</v>
      </c>
      <c r="V55"/>
      <c r="W55"/>
      <c r="X55"/>
      <c r="Y55"/>
      <c r="Z55"/>
      <c r="AA55" s="85">
        <v>2009</v>
      </c>
      <c r="AB55" s="2">
        <f t="shared" si="233"/>
        <v>0</v>
      </c>
      <c r="AC55" s="2">
        <f t="shared" si="234"/>
        <v>0</v>
      </c>
      <c r="AD55" s="2">
        <f t="shared" si="235"/>
        <v>0</v>
      </c>
      <c r="AE55" s="2">
        <f t="shared" si="236"/>
        <v>0</v>
      </c>
      <c r="AF55" s="2">
        <f t="shared" si="237"/>
        <v>0</v>
      </c>
      <c r="AG55" s="3">
        <f t="shared" si="238"/>
        <v>0</v>
      </c>
      <c r="AH55" s="73"/>
      <c r="AI55" s="2"/>
      <c r="AJ55" s="2"/>
      <c r="AL55" s="80">
        <f t="shared" si="239"/>
        <v>0</v>
      </c>
      <c r="AM55" s="10">
        <f t="shared" si="240"/>
        <v>0</v>
      </c>
      <c r="AN55" s="10">
        <f t="shared" si="241"/>
        <v>0</v>
      </c>
      <c r="AO55" s="10">
        <f t="shared" si="242"/>
        <v>0</v>
      </c>
      <c r="AP55" s="10">
        <f t="shared" si="243"/>
        <v>0</v>
      </c>
      <c r="AQ55" s="2">
        <f t="shared" si="244"/>
        <v>0</v>
      </c>
      <c r="AR55" s="73"/>
    </row>
    <row r="56" spans="1:44">
      <c r="A56" s="102" t="s">
        <v>200</v>
      </c>
      <c r="B56" s="40" t="s">
        <v>71</v>
      </c>
      <c r="C56">
        <v>0</v>
      </c>
      <c r="D56" s="40" t="s">
        <v>9</v>
      </c>
      <c r="E56" s="31">
        <v>0</v>
      </c>
      <c r="F56" s="128">
        <f t="shared" si="212"/>
        <v>0</v>
      </c>
      <c r="G56" s="139">
        <v>0</v>
      </c>
      <c r="H56" s="243">
        <v>10</v>
      </c>
      <c r="I56" s="139">
        <v>0</v>
      </c>
      <c r="J56" s="243">
        <v>2</v>
      </c>
      <c r="K56" s="140">
        <v>0</v>
      </c>
      <c r="L56" t="s">
        <v>8</v>
      </c>
      <c r="M56" s="31">
        <f t="shared" si="213"/>
        <v>5880</v>
      </c>
      <c r="N56">
        <v>4</v>
      </c>
      <c r="O56" s="41">
        <f t="shared" si="214"/>
        <v>5880</v>
      </c>
      <c r="P56" s="41"/>
      <c r="Q56" s="108" t="s">
        <v>48</v>
      </c>
      <c r="R56" s="179" t="s">
        <v>91</v>
      </c>
      <c r="S56" s="186" t="str">
        <f t="shared" si="215"/>
        <v>BPD2009</v>
      </c>
      <c r="T56" s="186" t="str">
        <f t="shared" si="216"/>
        <v>B4.2.32009</v>
      </c>
      <c r="U56" s="186" t="s">
        <v>321</v>
      </c>
      <c r="V56"/>
      <c r="W56"/>
      <c r="X56"/>
      <c r="Y56"/>
      <c r="Z56"/>
      <c r="AA56" s="85">
        <v>2009</v>
      </c>
      <c r="AB56" s="2">
        <f t="shared" si="217"/>
        <v>0</v>
      </c>
      <c r="AC56" s="2">
        <f t="shared" si="218"/>
        <v>40</v>
      </c>
      <c r="AD56" s="2">
        <f t="shared" si="219"/>
        <v>0</v>
      </c>
      <c r="AE56" s="2">
        <f t="shared" si="220"/>
        <v>8</v>
      </c>
      <c r="AF56" s="2">
        <f t="shared" si="221"/>
        <v>0</v>
      </c>
      <c r="AG56" s="3">
        <f t="shared" si="222"/>
        <v>0</v>
      </c>
      <c r="AH56" s="73"/>
      <c r="AI56" s="2"/>
      <c r="AJ56" s="2"/>
      <c r="AL56" s="80">
        <f t="shared" si="223"/>
        <v>0</v>
      </c>
      <c r="AM56" s="10">
        <f t="shared" si="224"/>
        <v>0</v>
      </c>
      <c r="AN56" s="10">
        <f t="shared" si="225"/>
        <v>0</v>
      </c>
      <c r="AO56" s="10">
        <f t="shared" si="226"/>
        <v>0</v>
      </c>
      <c r="AP56" s="10">
        <f t="shared" si="227"/>
        <v>0</v>
      </c>
      <c r="AQ56" s="2">
        <f t="shared" si="228"/>
        <v>0</v>
      </c>
      <c r="AR56" s="73"/>
    </row>
    <row r="57" spans="1:44">
      <c r="A57" s="102" t="s">
        <v>201</v>
      </c>
      <c r="B57" s="40" t="s">
        <v>71</v>
      </c>
      <c r="C57">
        <v>0</v>
      </c>
      <c r="D57" s="40" t="s">
        <v>9</v>
      </c>
      <c r="E57" s="31">
        <v>0</v>
      </c>
      <c r="F57" s="128">
        <f t="shared" si="212"/>
        <v>0</v>
      </c>
      <c r="G57" s="139">
        <v>0</v>
      </c>
      <c r="H57" s="243">
        <v>10</v>
      </c>
      <c r="I57" s="139">
        <v>0</v>
      </c>
      <c r="J57" s="243">
        <v>2</v>
      </c>
      <c r="K57" s="140">
        <v>0</v>
      </c>
      <c r="L57" t="s">
        <v>8</v>
      </c>
      <c r="M57" s="31">
        <f t="shared" si="213"/>
        <v>5880</v>
      </c>
      <c r="N57">
        <v>4</v>
      </c>
      <c r="O57" s="41">
        <f t="shared" si="214"/>
        <v>5880</v>
      </c>
      <c r="P57" s="41"/>
      <c r="Q57" s="108" t="s">
        <v>48</v>
      </c>
      <c r="R57" s="179" t="s">
        <v>91</v>
      </c>
      <c r="S57" s="186" t="str">
        <f t="shared" si="215"/>
        <v>BPD2009</v>
      </c>
      <c r="T57" s="186" t="str">
        <f t="shared" si="216"/>
        <v>B4.2.32009</v>
      </c>
      <c r="U57" s="186" t="s">
        <v>321</v>
      </c>
      <c r="V57"/>
      <c r="W57"/>
      <c r="X57"/>
      <c r="Y57"/>
      <c r="Z57"/>
      <c r="AA57" s="85">
        <v>2009</v>
      </c>
      <c r="AB57" s="2">
        <f t="shared" si="217"/>
        <v>0</v>
      </c>
      <c r="AC57" s="2">
        <f t="shared" si="218"/>
        <v>40</v>
      </c>
      <c r="AD57" s="2">
        <f t="shared" si="219"/>
        <v>0</v>
      </c>
      <c r="AE57" s="2">
        <f t="shared" si="220"/>
        <v>8</v>
      </c>
      <c r="AF57" s="2">
        <f t="shared" si="221"/>
        <v>0</v>
      </c>
      <c r="AG57" s="3">
        <f t="shared" si="222"/>
        <v>0</v>
      </c>
      <c r="AH57" s="73"/>
      <c r="AI57" s="2"/>
      <c r="AJ57" s="2"/>
      <c r="AL57" s="80">
        <f t="shared" si="223"/>
        <v>0</v>
      </c>
      <c r="AM57" s="10">
        <f t="shared" si="224"/>
        <v>0</v>
      </c>
      <c r="AN57" s="10">
        <f t="shared" si="225"/>
        <v>0</v>
      </c>
      <c r="AO57" s="10">
        <f t="shared" si="226"/>
        <v>0</v>
      </c>
      <c r="AP57" s="10">
        <f t="shared" si="227"/>
        <v>0</v>
      </c>
      <c r="AQ57" s="2">
        <f t="shared" si="228"/>
        <v>0</v>
      </c>
      <c r="AR57" s="73"/>
    </row>
    <row r="58" spans="1:44">
      <c r="A58" s="102" t="s">
        <v>205</v>
      </c>
      <c r="B58" s="40" t="s">
        <v>71</v>
      </c>
      <c r="C58">
        <v>0</v>
      </c>
      <c r="D58" s="40" t="s">
        <v>9</v>
      </c>
      <c r="E58" s="31">
        <v>0</v>
      </c>
      <c r="F58" s="128">
        <f t="shared" ref="F58" si="245">E58*C58</f>
        <v>0</v>
      </c>
      <c r="G58" s="139">
        <v>0</v>
      </c>
      <c r="H58" s="139">
        <v>8</v>
      </c>
      <c r="I58" s="139">
        <v>0</v>
      </c>
      <c r="J58" s="139">
        <v>1</v>
      </c>
      <c r="K58" s="140">
        <v>0</v>
      </c>
      <c r="L58" t="s">
        <v>8</v>
      </c>
      <c r="M58" s="31">
        <f t="shared" ref="M58" si="246">((Shop*G58)+(M_Tech*H58)+(CMM*I58)+(ENG*J58)+(DES*K58))*N58</f>
        <v>0</v>
      </c>
      <c r="N58" s="242">
        <v>0</v>
      </c>
      <c r="O58" s="41">
        <f t="shared" ref="O58" si="247">M58+(N58*F58)</f>
        <v>0</v>
      </c>
      <c r="P58" s="41"/>
      <c r="Q58" s="108" t="s">
        <v>49</v>
      </c>
      <c r="R58" s="179" t="s">
        <v>91</v>
      </c>
      <c r="S58" s="186" t="str">
        <f t="shared" ref="S58" si="248">CONCATENATE(Q58,R58,AA58)</f>
        <v>CPD2009</v>
      </c>
      <c r="T58" s="186" t="str">
        <f t="shared" si="216"/>
        <v>C4.2.32009</v>
      </c>
      <c r="U58" s="186" t="s">
        <v>321</v>
      </c>
      <c r="V58"/>
      <c r="W58"/>
      <c r="X58"/>
      <c r="Y58"/>
      <c r="Z58"/>
      <c r="AA58" s="85">
        <v>2009</v>
      </c>
      <c r="AB58" s="2">
        <f t="shared" ref="AB58" si="249">IF($Q58="B", (G58*$N58),0)</f>
        <v>0</v>
      </c>
      <c r="AC58" s="2">
        <f t="shared" ref="AC58" si="250">IF($Q58="B", (H58*$N58),0)</f>
        <v>0</v>
      </c>
      <c r="AD58" s="2">
        <f t="shared" ref="AD58" si="251">IF($Q58="B", (I58*$N58),0)</f>
        <v>0</v>
      </c>
      <c r="AE58" s="2">
        <f t="shared" ref="AE58" si="252">IF($Q58="B", (J58*$N58),0)</f>
        <v>0</v>
      </c>
      <c r="AF58" s="2">
        <f t="shared" ref="AF58" si="253">IF($Q58="B", (K58*$N58),0)</f>
        <v>0</v>
      </c>
      <c r="AG58" s="3">
        <f t="shared" ref="AG58" si="254">IF($Q58="B", (F58*$N58),0)</f>
        <v>0</v>
      </c>
      <c r="AH58" s="73"/>
      <c r="AI58" s="2"/>
      <c r="AJ58" s="2"/>
      <c r="AL58" s="80">
        <f t="shared" ref="AL58" si="255">IF($Q58="C", (G58*$N58),0)</f>
        <v>0</v>
      </c>
      <c r="AM58" s="10">
        <f t="shared" ref="AM58" si="256">IF($Q58="C", (H58*$N58),0)</f>
        <v>0</v>
      </c>
      <c r="AN58" s="10">
        <f t="shared" ref="AN58" si="257">IF($Q58="C", (I58*$N58),0)</f>
        <v>0</v>
      </c>
      <c r="AO58" s="10">
        <f t="shared" ref="AO58" si="258">IF($Q58="C", (J58*$N58),0)</f>
        <v>0</v>
      </c>
      <c r="AP58" s="10">
        <f t="shared" ref="AP58" si="259">IF($Q58="C", (K58*$N58),0)</f>
        <v>0</v>
      </c>
      <c r="AQ58" s="2">
        <f t="shared" ref="AQ58" si="260">IF($Q58="C", (F58*$N58),0)</f>
        <v>0</v>
      </c>
      <c r="AR58" s="73"/>
    </row>
    <row r="59" spans="1:44">
      <c r="A59" s="102" t="s">
        <v>199</v>
      </c>
      <c r="B59" s="40" t="s">
        <v>71</v>
      </c>
      <c r="C59">
        <v>0</v>
      </c>
      <c r="D59" s="40" t="s">
        <v>9</v>
      </c>
      <c r="E59" s="31">
        <v>0</v>
      </c>
      <c r="F59" s="128">
        <f t="shared" si="212"/>
        <v>0</v>
      </c>
      <c r="G59" s="139">
        <v>4</v>
      </c>
      <c r="H59" s="243">
        <v>12</v>
      </c>
      <c r="I59" s="139">
        <v>0</v>
      </c>
      <c r="J59" s="243">
        <v>2</v>
      </c>
      <c r="K59" s="140">
        <v>0</v>
      </c>
      <c r="L59" t="s">
        <v>8</v>
      </c>
      <c r="M59" s="31">
        <f t="shared" si="213"/>
        <v>2212</v>
      </c>
      <c r="N59">
        <v>1</v>
      </c>
      <c r="O59" s="41">
        <f t="shared" si="214"/>
        <v>2212</v>
      </c>
      <c r="P59" s="41"/>
      <c r="Q59" s="108" t="s">
        <v>49</v>
      </c>
      <c r="R59" s="179" t="s">
        <v>91</v>
      </c>
      <c r="S59" s="186" t="str">
        <f t="shared" ref="S59:S61" si="261">CONCATENATE(Q59,R59,AA59)</f>
        <v>CPD2009</v>
      </c>
      <c r="T59" s="186" t="str">
        <f t="shared" si="216"/>
        <v>C4.2.32009</v>
      </c>
      <c r="U59" s="186" t="s">
        <v>321</v>
      </c>
      <c r="V59"/>
      <c r="W59"/>
      <c r="X59"/>
      <c r="Y59"/>
      <c r="Z59"/>
      <c r="AA59" s="85">
        <v>2009</v>
      </c>
      <c r="AB59" s="2">
        <f t="shared" ref="AB59:AB61" si="262">IF($Q59="B", (G59*$N59),0)</f>
        <v>0</v>
      </c>
      <c r="AC59" s="2">
        <f t="shared" ref="AC59:AC61" si="263">IF($Q59="B", (H59*$N59),0)</f>
        <v>0</v>
      </c>
      <c r="AD59" s="2">
        <f t="shared" ref="AD59:AD61" si="264">IF($Q59="B", (I59*$N59),0)</f>
        <v>0</v>
      </c>
      <c r="AE59" s="2">
        <f t="shared" ref="AE59:AE61" si="265">IF($Q59="B", (J59*$N59),0)</f>
        <v>0</v>
      </c>
      <c r="AF59" s="2">
        <f t="shared" ref="AF59:AF61" si="266">IF($Q59="B", (K59*$N59),0)</f>
        <v>0</v>
      </c>
      <c r="AG59" s="3">
        <f t="shared" ref="AG59:AG61" si="267">IF($Q59="B", (F59*$N59),0)</f>
        <v>0</v>
      </c>
      <c r="AH59" s="73"/>
      <c r="AI59" s="2"/>
      <c r="AJ59" s="2"/>
      <c r="AL59" s="80">
        <f t="shared" ref="AL59:AL61" si="268">IF($Q59="C", (G59*$N59),0)</f>
        <v>4</v>
      </c>
      <c r="AM59" s="10">
        <f t="shared" ref="AM59:AM61" si="269">IF($Q59="C", (H59*$N59),0)</f>
        <v>12</v>
      </c>
      <c r="AN59" s="10">
        <f t="shared" ref="AN59:AN61" si="270">IF($Q59="C", (I59*$N59),0)</f>
        <v>0</v>
      </c>
      <c r="AO59" s="10">
        <f t="shared" ref="AO59:AO61" si="271">IF($Q59="C", (J59*$N59),0)</f>
        <v>2</v>
      </c>
      <c r="AP59" s="10">
        <f t="shared" ref="AP59:AP61" si="272">IF($Q59="C", (K59*$N59),0)</f>
        <v>0</v>
      </c>
      <c r="AQ59" s="2">
        <f t="shared" ref="AQ59:AQ61" si="273">IF($Q59="C", (F59*$N59),0)</f>
        <v>0</v>
      </c>
      <c r="AR59" s="73"/>
    </row>
    <row r="60" spans="1:44">
      <c r="A60" s="102" t="s">
        <v>208</v>
      </c>
      <c r="B60" s="40" t="s">
        <v>71</v>
      </c>
      <c r="C60">
        <v>0</v>
      </c>
      <c r="D60" s="40" t="s">
        <v>9</v>
      </c>
      <c r="E60" s="31">
        <v>0</v>
      </c>
      <c r="F60" s="128">
        <f t="shared" si="212"/>
        <v>0</v>
      </c>
      <c r="G60" s="139">
        <v>4</v>
      </c>
      <c r="H60" s="243">
        <v>12</v>
      </c>
      <c r="I60" s="139">
        <v>0</v>
      </c>
      <c r="J60" s="243">
        <v>2</v>
      </c>
      <c r="K60" s="140">
        <v>0</v>
      </c>
      <c r="L60" t="s">
        <v>8</v>
      </c>
      <c r="M60" s="31">
        <f t="shared" si="213"/>
        <v>2212</v>
      </c>
      <c r="N60">
        <v>1</v>
      </c>
      <c r="O60" s="41">
        <f t="shared" si="214"/>
        <v>2212</v>
      </c>
      <c r="P60" s="41"/>
      <c r="Q60" s="108" t="s">
        <v>49</v>
      </c>
      <c r="R60" s="179" t="s">
        <v>91</v>
      </c>
      <c r="S60" s="186" t="str">
        <f t="shared" si="261"/>
        <v>CPD2009</v>
      </c>
      <c r="T60" s="186" t="str">
        <f t="shared" si="216"/>
        <v>C4.2.32009</v>
      </c>
      <c r="U60" s="186" t="s">
        <v>321</v>
      </c>
      <c r="V60"/>
      <c r="W60"/>
      <c r="X60"/>
      <c r="Y60"/>
      <c r="Z60"/>
      <c r="AA60" s="85">
        <v>2009</v>
      </c>
      <c r="AB60" s="2">
        <f t="shared" si="262"/>
        <v>0</v>
      </c>
      <c r="AC60" s="2">
        <f t="shared" si="263"/>
        <v>0</v>
      </c>
      <c r="AD60" s="2">
        <f t="shared" si="264"/>
        <v>0</v>
      </c>
      <c r="AE60" s="2">
        <f t="shared" si="265"/>
        <v>0</v>
      </c>
      <c r="AF60" s="2">
        <f t="shared" si="266"/>
        <v>0</v>
      </c>
      <c r="AG60" s="3">
        <f t="shared" si="267"/>
        <v>0</v>
      </c>
      <c r="AH60" s="73"/>
      <c r="AI60" s="2"/>
      <c r="AJ60" s="2"/>
      <c r="AL60" s="80">
        <f t="shared" si="268"/>
        <v>4</v>
      </c>
      <c r="AM60" s="10">
        <f t="shared" si="269"/>
        <v>12</v>
      </c>
      <c r="AN60" s="10">
        <f t="shared" si="270"/>
        <v>0</v>
      </c>
      <c r="AO60" s="10">
        <f t="shared" si="271"/>
        <v>2</v>
      </c>
      <c r="AP60" s="10">
        <f t="shared" si="272"/>
        <v>0</v>
      </c>
      <c r="AQ60" s="2">
        <f t="shared" si="273"/>
        <v>0</v>
      </c>
      <c r="AR60" s="73"/>
    </row>
    <row r="61" spans="1:44">
      <c r="A61" s="102" t="s">
        <v>209</v>
      </c>
      <c r="B61" s="40" t="s">
        <v>71</v>
      </c>
      <c r="C61">
        <v>0</v>
      </c>
      <c r="D61" s="40" t="s">
        <v>9</v>
      </c>
      <c r="E61" s="31">
        <v>0</v>
      </c>
      <c r="F61" s="128">
        <f t="shared" si="212"/>
        <v>0</v>
      </c>
      <c r="G61" s="139">
        <v>4</v>
      </c>
      <c r="H61" s="139">
        <v>8</v>
      </c>
      <c r="I61" s="139">
        <v>0</v>
      </c>
      <c r="J61" s="139">
        <v>2</v>
      </c>
      <c r="K61" s="140">
        <v>0</v>
      </c>
      <c r="L61" t="s">
        <v>8</v>
      </c>
      <c r="M61" s="31">
        <f t="shared" si="213"/>
        <v>0</v>
      </c>
      <c r="N61" s="242">
        <v>0</v>
      </c>
      <c r="O61" s="41">
        <f t="shared" si="214"/>
        <v>0</v>
      </c>
      <c r="P61" s="41"/>
      <c r="Q61" s="108" t="s">
        <v>48</v>
      </c>
      <c r="R61" s="179" t="s">
        <v>91</v>
      </c>
      <c r="S61" s="186" t="str">
        <f t="shared" si="261"/>
        <v>BPD2009</v>
      </c>
      <c r="T61" s="186" t="str">
        <f t="shared" si="216"/>
        <v>B4.2.32009</v>
      </c>
      <c r="U61" s="186" t="s">
        <v>321</v>
      </c>
      <c r="V61"/>
      <c r="W61"/>
      <c r="X61"/>
      <c r="Y61"/>
      <c r="Z61"/>
      <c r="AA61" s="85">
        <v>2009</v>
      </c>
      <c r="AB61" s="2">
        <f t="shared" si="262"/>
        <v>0</v>
      </c>
      <c r="AC61" s="2">
        <f t="shared" si="263"/>
        <v>0</v>
      </c>
      <c r="AD61" s="2">
        <f t="shared" si="264"/>
        <v>0</v>
      </c>
      <c r="AE61" s="2">
        <f t="shared" si="265"/>
        <v>0</v>
      </c>
      <c r="AF61" s="2">
        <f t="shared" si="266"/>
        <v>0</v>
      </c>
      <c r="AG61" s="3">
        <f t="shared" si="267"/>
        <v>0</v>
      </c>
      <c r="AH61" s="73"/>
      <c r="AI61" s="2"/>
      <c r="AJ61" s="2"/>
      <c r="AL61" s="80">
        <f t="shared" si="268"/>
        <v>0</v>
      </c>
      <c r="AM61" s="10">
        <f t="shared" si="269"/>
        <v>0</v>
      </c>
      <c r="AN61" s="10">
        <f t="shared" si="270"/>
        <v>0</v>
      </c>
      <c r="AO61" s="10">
        <f t="shared" si="271"/>
        <v>0</v>
      </c>
      <c r="AP61" s="10">
        <f t="shared" si="272"/>
        <v>0</v>
      </c>
      <c r="AQ61" s="2">
        <f t="shared" si="273"/>
        <v>0</v>
      </c>
      <c r="AR61" s="73"/>
    </row>
    <row r="62" spans="1:44">
      <c r="A62" s="102" t="s">
        <v>206</v>
      </c>
      <c r="B62" s="40" t="s">
        <v>71</v>
      </c>
      <c r="C62">
        <v>0</v>
      </c>
      <c r="D62" s="40" t="s">
        <v>9</v>
      </c>
      <c r="E62" s="31">
        <v>0</v>
      </c>
      <c r="F62" s="128">
        <f t="shared" si="212"/>
        <v>0</v>
      </c>
      <c r="G62" s="139">
        <v>0</v>
      </c>
      <c r="H62" s="243">
        <v>12</v>
      </c>
      <c r="I62" s="139">
        <v>0</v>
      </c>
      <c r="J62" s="243">
        <v>2</v>
      </c>
      <c r="K62" s="140">
        <v>0</v>
      </c>
      <c r="L62" t="s">
        <v>8</v>
      </c>
      <c r="M62" s="31">
        <f t="shared" si="213"/>
        <v>1704</v>
      </c>
      <c r="N62">
        <v>1</v>
      </c>
      <c r="O62" s="41">
        <f t="shared" si="214"/>
        <v>1704</v>
      </c>
      <c r="P62" s="41"/>
      <c r="Q62" s="108" t="s">
        <v>49</v>
      </c>
      <c r="R62" s="179" t="s">
        <v>91</v>
      </c>
      <c r="S62" s="186" t="str">
        <f t="shared" ref="S62:S63" si="274">CONCATENATE(Q62,R62,AA62)</f>
        <v>CPD2009</v>
      </c>
      <c r="T62" s="186" t="str">
        <f t="shared" si="216"/>
        <v>C4.2.32009</v>
      </c>
      <c r="U62" s="186" t="s">
        <v>321</v>
      </c>
      <c r="V62"/>
      <c r="W62"/>
      <c r="X62"/>
      <c r="Y62"/>
      <c r="Z62"/>
      <c r="AA62" s="85">
        <v>2009</v>
      </c>
      <c r="AB62" s="2">
        <f t="shared" ref="AB62:AB63" si="275">IF($Q62="B", (G62*$N62),0)</f>
        <v>0</v>
      </c>
      <c r="AC62" s="2">
        <f t="shared" ref="AC62:AC63" si="276">IF($Q62="B", (H62*$N62),0)</f>
        <v>0</v>
      </c>
      <c r="AD62" s="2">
        <f t="shared" ref="AD62:AD63" si="277">IF($Q62="B", (I62*$N62),0)</f>
        <v>0</v>
      </c>
      <c r="AE62" s="2">
        <f t="shared" ref="AE62:AE63" si="278">IF($Q62="B", (J62*$N62),0)</f>
        <v>0</v>
      </c>
      <c r="AF62" s="2">
        <f t="shared" ref="AF62:AF63" si="279">IF($Q62="B", (K62*$N62),0)</f>
        <v>0</v>
      </c>
      <c r="AG62" s="3">
        <f t="shared" ref="AG62:AG63" si="280">IF($Q62="B", (F62*$N62),0)</f>
        <v>0</v>
      </c>
      <c r="AH62" s="73"/>
      <c r="AI62" s="2"/>
      <c r="AJ62" s="2"/>
      <c r="AL62" s="80">
        <f t="shared" ref="AL62:AL63" si="281">IF($Q62="C", (G62*$N62),0)</f>
        <v>0</v>
      </c>
      <c r="AM62" s="10">
        <f t="shared" ref="AM62:AM63" si="282">IF($Q62="C", (H62*$N62),0)</f>
        <v>12</v>
      </c>
      <c r="AN62" s="10">
        <f t="shared" ref="AN62:AN63" si="283">IF($Q62="C", (I62*$N62),0)</f>
        <v>0</v>
      </c>
      <c r="AO62" s="10">
        <f t="shared" ref="AO62:AO63" si="284">IF($Q62="C", (J62*$N62),0)</f>
        <v>2</v>
      </c>
      <c r="AP62" s="10">
        <f t="shared" ref="AP62:AP63" si="285">IF($Q62="C", (K62*$N62),0)</f>
        <v>0</v>
      </c>
      <c r="AQ62" s="2">
        <f t="shared" ref="AQ62:AQ63" si="286">IF($Q62="C", (F62*$N62),0)</f>
        <v>0</v>
      </c>
      <c r="AR62" s="73"/>
    </row>
    <row r="63" spans="1:44">
      <c r="A63" s="102" t="s">
        <v>207</v>
      </c>
      <c r="B63" s="40" t="s">
        <v>71</v>
      </c>
      <c r="C63">
        <v>0</v>
      </c>
      <c r="D63" s="40" t="s">
        <v>9</v>
      </c>
      <c r="E63" s="31">
        <v>0</v>
      </c>
      <c r="F63" s="128">
        <f t="shared" si="212"/>
        <v>0</v>
      </c>
      <c r="G63" s="139">
        <v>0</v>
      </c>
      <c r="H63" s="243">
        <v>12</v>
      </c>
      <c r="I63" s="139">
        <v>0</v>
      </c>
      <c r="J63" s="243">
        <v>2</v>
      </c>
      <c r="K63" s="140">
        <v>0</v>
      </c>
      <c r="L63" t="s">
        <v>8</v>
      </c>
      <c r="M63" s="31">
        <f t="shared" si="213"/>
        <v>1704</v>
      </c>
      <c r="N63">
        <v>1</v>
      </c>
      <c r="O63" s="41">
        <f t="shared" si="214"/>
        <v>1704</v>
      </c>
      <c r="P63" s="41"/>
      <c r="Q63" s="108" t="s">
        <v>49</v>
      </c>
      <c r="R63" s="179" t="s">
        <v>91</v>
      </c>
      <c r="S63" s="186" t="str">
        <f t="shared" si="274"/>
        <v>CPD2009</v>
      </c>
      <c r="T63" s="186" t="str">
        <f t="shared" si="216"/>
        <v>C4.2.32009</v>
      </c>
      <c r="U63" s="186" t="s">
        <v>321</v>
      </c>
      <c r="V63"/>
      <c r="W63"/>
      <c r="X63"/>
      <c r="Y63"/>
      <c r="Z63"/>
      <c r="AA63" s="85">
        <v>2009</v>
      </c>
      <c r="AB63" s="2">
        <f t="shared" si="275"/>
        <v>0</v>
      </c>
      <c r="AC63" s="2">
        <f t="shared" si="276"/>
        <v>0</v>
      </c>
      <c r="AD63" s="2">
        <f t="shared" si="277"/>
        <v>0</v>
      </c>
      <c r="AE63" s="2">
        <f t="shared" si="278"/>
        <v>0</v>
      </c>
      <c r="AF63" s="2">
        <f t="shared" si="279"/>
        <v>0</v>
      </c>
      <c r="AG63" s="3">
        <f t="shared" si="280"/>
        <v>0</v>
      </c>
      <c r="AH63" s="73"/>
      <c r="AI63" s="2"/>
      <c r="AJ63" s="2"/>
      <c r="AL63" s="80">
        <f t="shared" si="281"/>
        <v>0</v>
      </c>
      <c r="AM63" s="10">
        <f t="shared" si="282"/>
        <v>12</v>
      </c>
      <c r="AN63" s="10">
        <f t="shared" si="283"/>
        <v>0</v>
      </c>
      <c r="AO63" s="10">
        <f t="shared" si="284"/>
        <v>2</v>
      </c>
      <c r="AP63" s="10">
        <f t="shared" si="285"/>
        <v>0</v>
      </c>
      <c r="AQ63" s="2">
        <f t="shared" si="286"/>
        <v>0</v>
      </c>
      <c r="AR63" s="73"/>
    </row>
    <row r="64" spans="1:44" s="155" customFormat="1">
      <c r="A64" s="103" t="s">
        <v>106</v>
      </c>
      <c r="E64" s="156"/>
      <c r="F64" s="157"/>
      <c r="G64" s="158"/>
      <c r="H64" s="158"/>
      <c r="I64" s="158"/>
      <c r="J64" s="158"/>
      <c r="K64" s="159"/>
      <c r="L64" s="169" t="s">
        <v>78</v>
      </c>
      <c r="M64" s="170">
        <f>SUMIF(Q52:Q63,"B",M52:M63)</f>
        <v>27584</v>
      </c>
      <c r="N64" s="171" t="s">
        <v>78</v>
      </c>
      <c r="O64" s="170"/>
      <c r="P64" s="160"/>
      <c r="Q64" s="161"/>
      <c r="R64" s="181"/>
      <c r="S64" s="188"/>
      <c r="T64" s="188"/>
      <c r="U64" s="188"/>
      <c r="V64"/>
      <c r="W64"/>
      <c r="X64"/>
      <c r="Y64"/>
      <c r="Z64"/>
      <c r="AA64" s="85"/>
      <c r="AB64" s="163"/>
      <c r="AC64" s="163"/>
      <c r="AD64" s="163"/>
      <c r="AE64" s="163"/>
      <c r="AF64" s="163"/>
      <c r="AG64" s="164"/>
      <c r="AH64" s="165"/>
      <c r="AI64" s="163"/>
      <c r="AJ64" s="163"/>
      <c r="AK64" s="31"/>
      <c r="AL64" s="166"/>
      <c r="AM64" s="163"/>
      <c r="AN64" s="163"/>
      <c r="AO64" s="163"/>
      <c r="AP64" s="163"/>
      <c r="AQ64" s="163"/>
      <c r="AR64" s="165"/>
    </row>
    <row r="65" spans="1:44" s="38" customFormat="1">
      <c r="A65" s="167" t="s">
        <v>71</v>
      </c>
      <c r="B65" s="40" t="s">
        <v>64</v>
      </c>
      <c r="C65">
        <v>1</v>
      </c>
      <c r="D65" s="40" t="s">
        <v>39</v>
      </c>
      <c r="E65" s="31">
        <v>300</v>
      </c>
      <c r="F65" s="128">
        <f>E65*C65</f>
        <v>300</v>
      </c>
      <c r="G65" s="139">
        <v>0</v>
      </c>
      <c r="H65" s="139">
        <v>4</v>
      </c>
      <c r="I65" s="139">
        <v>0</v>
      </c>
      <c r="J65" s="139">
        <v>0</v>
      </c>
      <c r="K65" s="140">
        <v>0</v>
      </c>
      <c r="L65" t="s">
        <v>8</v>
      </c>
      <c r="M65" s="31">
        <f>((Shop*G65)+(M_Tech*H65)+(CMM*I65)+(ENG*J65)+(DES*K65))*N65</f>
        <v>468</v>
      </c>
      <c r="N65">
        <v>1</v>
      </c>
      <c r="O65" s="41">
        <f>M65+(N65*F65)</f>
        <v>768</v>
      </c>
      <c r="P65" s="41"/>
      <c r="Q65" s="108" t="s">
        <v>48</v>
      </c>
      <c r="R65" s="179" t="s">
        <v>91</v>
      </c>
      <c r="S65" s="186" t="str">
        <f t="shared" ref="S65:S67" si="287">CONCATENATE(Q65,R65,AA65)</f>
        <v>BPD2009</v>
      </c>
      <c r="T65" s="186" t="str">
        <f t="shared" ref="T65:T67" si="288">CONCATENATE(Q65,U65,AA65)</f>
        <v>B4.2.32009</v>
      </c>
      <c r="U65" s="186" t="s">
        <v>321</v>
      </c>
      <c r="V65"/>
      <c r="W65"/>
      <c r="X65"/>
      <c r="Y65"/>
      <c r="Z65"/>
      <c r="AA65" s="85">
        <v>2009</v>
      </c>
      <c r="AB65" s="2">
        <f t="shared" ref="AB65:AF67" si="289">IF($Q65="B", (G65*$N65),0)</f>
        <v>0</v>
      </c>
      <c r="AC65" s="2">
        <f t="shared" si="289"/>
        <v>4</v>
      </c>
      <c r="AD65" s="2">
        <f t="shared" si="289"/>
        <v>0</v>
      </c>
      <c r="AE65" s="2">
        <f t="shared" si="289"/>
        <v>0</v>
      </c>
      <c r="AF65" s="2">
        <f t="shared" si="289"/>
        <v>0</v>
      </c>
      <c r="AG65" s="3">
        <f>IF($Q65="B", (F65*$N65),0)</f>
        <v>300</v>
      </c>
      <c r="AH65" s="39"/>
      <c r="AI65" s="37"/>
      <c r="AJ65" s="37"/>
      <c r="AK65" s="31"/>
      <c r="AL65" s="80">
        <f t="shared" ref="AL65:AP67" si="290">IF($Q65="C", (G65*$N65),0)</f>
        <v>0</v>
      </c>
      <c r="AM65" s="10">
        <f t="shared" si="290"/>
        <v>0</v>
      </c>
      <c r="AN65" s="10">
        <f t="shared" si="290"/>
        <v>0</v>
      </c>
      <c r="AO65" s="10">
        <f t="shared" si="290"/>
        <v>0</v>
      </c>
      <c r="AP65" s="10">
        <f t="shared" si="290"/>
        <v>0</v>
      </c>
      <c r="AQ65" s="2">
        <f>IF($Q65="C", (F65*$N65),0)</f>
        <v>0</v>
      </c>
      <c r="AR65" s="39"/>
    </row>
    <row r="66" spans="1:44" s="38" customFormat="1">
      <c r="A66" s="167" t="s">
        <v>174</v>
      </c>
      <c r="B66" s="40" t="s">
        <v>7</v>
      </c>
      <c r="C66">
        <v>30</v>
      </c>
      <c r="D66" s="40" t="s">
        <v>39</v>
      </c>
      <c r="E66" s="31">
        <v>8</v>
      </c>
      <c r="F66" s="128">
        <f>E66*C66</f>
        <v>240</v>
      </c>
      <c r="G66" s="139">
        <v>8</v>
      </c>
      <c r="H66" s="139">
        <v>8</v>
      </c>
      <c r="I66" s="139">
        <v>0</v>
      </c>
      <c r="J66" s="139">
        <v>0</v>
      </c>
      <c r="K66" s="140">
        <v>0</v>
      </c>
      <c r="L66" t="s">
        <v>8</v>
      </c>
      <c r="M66" s="31">
        <f>((Shop*G66)+(M_Tech*H66)+(CMM*I66)+(ENG*J66)+(DES*K66))*N66</f>
        <v>1952</v>
      </c>
      <c r="N66">
        <v>1</v>
      </c>
      <c r="O66" s="41">
        <f>M66+(N66*F66)</f>
        <v>2192</v>
      </c>
      <c r="P66" s="41"/>
      <c r="Q66" s="108" t="s">
        <v>48</v>
      </c>
      <c r="R66" s="179" t="s">
        <v>91</v>
      </c>
      <c r="S66" s="186" t="str">
        <f t="shared" si="287"/>
        <v>BPD2009</v>
      </c>
      <c r="T66" s="186" t="str">
        <f t="shared" si="288"/>
        <v>B4.2.32009</v>
      </c>
      <c r="U66" s="186" t="s">
        <v>321</v>
      </c>
      <c r="V66"/>
      <c r="W66"/>
      <c r="X66"/>
      <c r="Y66"/>
      <c r="Z66"/>
      <c r="AA66" s="85">
        <v>2009</v>
      </c>
      <c r="AB66" s="2">
        <f t="shared" si="289"/>
        <v>8</v>
      </c>
      <c r="AC66" s="2">
        <f t="shared" si="289"/>
        <v>8</v>
      </c>
      <c r="AD66" s="2">
        <f t="shared" si="289"/>
        <v>0</v>
      </c>
      <c r="AE66" s="2">
        <f t="shared" si="289"/>
        <v>0</v>
      </c>
      <c r="AF66" s="2">
        <f t="shared" si="289"/>
        <v>0</v>
      </c>
      <c r="AG66" s="3">
        <f>IF($Q66="B", (F66*$N66),0)</f>
        <v>240</v>
      </c>
      <c r="AH66" s="39"/>
      <c r="AI66" s="37"/>
      <c r="AJ66" s="37"/>
      <c r="AK66" s="31"/>
      <c r="AL66" s="80">
        <f t="shared" si="290"/>
        <v>0</v>
      </c>
      <c r="AM66" s="10">
        <f t="shared" si="290"/>
        <v>0</v>
      </c>
      <c r="AN66" s="10">
        <f t="shared" si="290"/>
        <v>0</v>
      </c>
      <c r="AO66" s="10">
        <f t="shared" si="290"/>
        <v>0</v>
      </c>
      <c r="AP66" s="10">
        <f t="shared" si="290"/>
        <v>0</v>
      </c>
      <c r="AQ66" s="2">
        <f>IF($Q66="C", (F66*$N66),0)</f>
        <v>0</v>
      </c>
      <c r="AR66" s="39"/>
    </row>
    <row r="67" spans="1:44" s="38" customFormat="1">
      <c r="A67" s="167" t="s">
        <v>74</v>
      </c>
      <c r="B67" s="40" t="s">
        <v>64</v>
      </c>
      <c r="C67">
        <v>1</v>
      </c>
      <c r="D67" s="40" t="s">
        <v>39</v>
      </c>
      <c r="E67" s="31">
        <v>200</v>
      </c>
      <c r="F67" s="128">
        <f>E67*C67</f>
        <v>200</v>
      </c>
      <c r="G67" s="139">
        <v>0</v>
      </c>
      <c r="H67" s="139">
        <v>1</v>
      </c>
      <c r="I67" s="139">
        <v>0</v>
      </c>
      <c r="J67" s="139">
        <v>0</v>
      </c>
      <c r="K67" s="140">
        <v>0</v>
      </c>
      <c r="L67" t="s">
        <v>8</v>
      </c>
      <c r="M67" s="31">
        <f>((Shop*G67)+(M_Tech*H67)+(CMM*I67)+(ENG*J67)+(DES*K67))*N67</f>
        <v>117</v>
      </c>
      <c r="N67">
        <v>1</v>
      </c>
      <c r="O67" s="41">
        <f>M67+(N67*F67)</f>
        <v>317</v>
      </c>
      <c r="P67" s="41"/>
      <c r="Q67" s="108" t="s">
        <v>49</v>
      </c>
      <c r="R67" s="179" t="s">
        <v>91</v>
      </c>
      <c r="S67" s="186" t="str">
        <f t="shared" si="287"/>
        <v>CPD2009</v>
      </c>
      <c r="T67" s="186" t="str">
        <f t="shared" si="288"/>
        <v>C4.2.32009</v>
      </c>
      <c r="U67" s="186" t="s">
        <v>321</v>
      </c>
      <c r="V67"/>
      <c r="W67"/>
      <c r="X67"/>
      <c r="Y67"/>
      <c r="Z67"/>
      <c r="AA67" s="85">
        <v>2009</v>
      </c>
      <c r="AB67" s="2">
        <f t="shared" si="289"/>
        <v>0</v>
      </c>
      <c r="AC67" s="2">
        <f t="shared" si="289"/>
        <v>0</v>
      </c>
      <c r="AD67" s="2">
        <f t="shared" si="289"/>
        <v>0</v>
      </c>
      <c r="AE67" s="2">
        <f t="shared" si="289"/>
        <v>0</v>
      </c>
      <c r="AF67" s="2">
        <f t="shared" si="289"/>
        <v>0</v>
      </c>
      <c r="AG67" s="3">
        <f>IF($Q67="B", (F67*$N67),0)</f>
        <v>0</v>
      </c>
      <c r="AH67" s="39"/>
      <c r="AI67" s="37"/>
      <c r="AJ67" s="37"/>
      <c r="AK67" s="31"/>
      <c r="AL67" s="80">
        <f t="shared" si="290"/>
        <v>0</v>
      </c>
      <c r="AM67" s="10">
        <f t="shared" si="290"/>
        <v>1</v>
      </c>
      <c r="AN67" s="10">
        <f t="shared" si="290"/>
        <v>0</v>
      </c>
      <c r="AO67" s="10">
        <f t="shared" si="290"/>
        <v>0</v>
      </c>
      <c r="AP67" s="10">
        <f t="shared" si="290"/>
        <v>0</v>
      </c>
      <c r="AQ67" s="2">
        <f>IF($Q67="C", (F67*$N67),0)</f>
        <v>200</v>
      </c>
      <c r="AR67" s="39"/>
    </row>
    <row r="68" spans="1:44">
      <c r="A68" s="43" t="s">
        <v>125</v>
      </c>
      <c r="B68" s="7"/>
      <c r="C68" s="7"/>
      <c r="D68" s="7"/>
      <c r="E68" s="9"/>
      <c r="F68" s="8"/>
      <c r="G68" s="141"/>
      <c r="H68" s="141"/>
      <c r="I68" s="141"/>
      <c r="J68" s="141"/>
      <c r="K68" s="142"/>
      <c r="L68" s="7"/>
      <c r="M68" s="9">
        <f>SUMIF(Q23:Q67,"B",M23:M67)</f>
        <v>87408</v>
      </c>
      <c r="N68" s="275" t="s">
        <v>77</v>
      </c>
      <c r="O68" s="275"/>
      <c r="P68" s="278"/>
      <c r="Q68" s="109"/>
      <c r="R68" s="182"/>
      <c r="S68" s="187"/>
      <c r="T68" s="187"/>
      <c r="U68" s="187"/>
      <c r="V68" s="7"/>
      <c r="W68" s="7"/>
      <c r="X68" s="7"/>
      <c r="Y68" s="7"/>
      <c r="Z68" s="7"/>
      <c r="AA68" s="86"/>
      <c r="AB68" s="11">
        <f>SUM(AB22:AB67)</f>
        <v>348</v>
      </c>
      <c r="AC68" s="11">
        <f t="shared" ref="AC68:AE68" si="291">SUM(AC22:AC67)</f>
        <v>236</v>
      </c>
      <c r="AD68" s="11">
        <f t="shared" si="291"/>
        <v>0</v>
      </c>
      <c r="AE68" s="11">
        <f t="shared" si="291"/>
        <v>104</v>
      </c>
      <c r="AF68" s="11">
        <f>SUM(AF22:AF67)</f>
        <v>0</v>
      </c>
      <c r="AG68" s="9"/>
      <c r="AH68" s="8">
        <f>SUM(AG22:AG67)</f>
        <v>6285</v>
      </c>
      <c r="AI68" s="9">
        <f>(Shop*AB68)+M_Tech*AC68+CMM*AD68+ENG*AE68+DES*AF68+AH68</f>
        <v>93693</v>
      </c>
      <c r="AJ68" s="9"/>
      <c r="AK68" s="8">
        <f>Shop*AL68+M_Tech*AM68+CMM*AN68+ENG*AO68+DES*AP68+AR68</f>
        <v>11334.2</v>
      </c>
      <c r="AL68" s="11">
        <f>SUM(AL22:AL67)</f>
        <v>27.6</v>
      </c>
      <c r="AM68" s="11">
        <f t="shared" ref="AM68" si="292">SUM(AM22:AM67)</f>
        <v>49</v>
      </c>
      <c r="AN68" s="11">
        <f t="shared" ref="AN68" si="293">SUM(AN22:AN67)</f>
        <v>0</v>
      </c>
      <c r="AO68" s="11">
        <f t="shared" ref="AO68" si="294">SUM(AO22:AO67)</f>
        <v>8</v>
      </c>
      <c r="AP68" s="11">
        <f t="shared" ref="AP68" si="295">SUM(AP22:AP67)</f>
        <v>0</v>
      </c>
      <c r="AQ68" s="9"/>
      <c r="AR68" s="8">
        <f>SUM(AQ22:AQ67)</f>
        <v>896</v>
      </c>
    </row>
    <row r="69" spans="1:44">
      <c r="F69" s="128"/>
      <c r="G69" s="139"/>
      <c r="H69" s="139"/>
      <c r="I69" s="139"/>
      <c r="J69" s="139"/>
      <c r="K69" s="140"/>
      <c r="M69" s="31"/>
      <c r="N69"/>
      <c r="O69" s="41"/>
      <c r="P69" s="41"/>
      <c r="Q69" s="87"/>
      <c r="R69" s="180"/>
      <c r="S69" s="192"/>
      <c r="T69" s="192"/>
      <c r="U69" s="192"/>
      <c r="V69"/>
      <c r="W69"/>
      <c r="X69"/>
      <c r="Y69"/>
      <c r="Z69"/>
      <c r="AA69" s="88"/>
      <c r="AB69" s="74"/>
      <c r="AC69" s="74"/>
      <c r="AD69" s="74"/>
      <c r="AE69" s="74"/>
      <c r="AF69" s="74"/>
      <c r="AG69" s="75"/>
      <c r="AH69" s="76"/>
      <c r="AI69" s="1"/>
      <c r="AJ69" s="1"/>
      <c r="AL69" s="81"/>
      <c r="AM69" s="2"/>
      <c r="AN69" s="2"/>
      <c r="AO69" s="2"/>
      <c r="AP69" s="2"/>
      <c r="AQ69" s="2"/>
      <c r="AR69" s="73"/>
    </row>
    <row r="70" spans="1:44" ht="15.75">
      <c r="A70" s="105" t="s">
        <v>124</v>
      </c>
      <c r="F70" s="128"/>
      <c r="G70" s="139"/>
      <c r="H70" s="139"/>
      <c r="I70" s="139"/>
      <c r="J70" s="139"/>
      <c r="K70" s="140"/>
      <c r="M70" s="31"/>
      <c r="N70"/>
      <c r="O70" s="41"/>
      <c r="P70" s="41"/>
      <c r="Q70" s="108"/>
      <c r="R70" s="179"/>
      <c r="S70" s="186"/>
      <c r="T70" s="186"/>
      <c r="U70" s="186"/>
      <c r="V70"/>
      <c r="W70"/>
      <c r="X70"/>
      <c r="Y70"/>
      <c r="Z70"/>
      <c r="AA70" s="85"/>
      <c r="AB70" s="10"/>
      <c r="AC70" s="10"/>
      <c r="AD70" s="10"/>
      <c r="AE70" s="10"/>
      <c r="AF70" s="10"/>
      <c r="AG70" s="3"/>
      <c r="AH70" s="73"/>
      <c r="AI70" s="2"/>
      <c r="AJ70" s="2"/>
      <c r="AL70" s="81"/>
      <c r="AM70" s="2"/>
      <c r="AN70" s="2"/>
      <c r="AO70" s="2"/>
      <c r="AP70" s="2"/>
      <c r="AQ70" s="2"/>
      <c r="AR70" s="73"/>
    </row>
    <row r="71" spans="1:44" s="38" customFormat="1">
      <c r="A71" s="103" t="s">
        <v>149</v>
      </c>
      <c r="B71" s="40"/>
      <c r="C71"/>
      <c r="D71" s="40"/>
      <c r="E71" s="31"/>
      <c r="F71" s="128"/>
      <c r="G71" s="168"/>
      <c r="H71" s="139"/>
      <c r="I71" s="139"/>
      <c r="J71" s="139"/>
      <c r="K71" s="140"/>
      <c r="L71" s="169"/>
      <c r="M71" s="170"/>
      <c r="N71" s="171"/>
      <c r="O71" s="170"/>
      <c r="P71" s="41"/>
      <c r="Q71" s="108"/>
      <c r="R71" s="179"/>
      <c r="S71" s="186"/>
      <c r="T71" s="186"/>
      <c r="U71" s="186"/>
      <c r="V71"/>
      <c r="W71"/>
      <c r="X71"/>
      <c r="Y71"/>
      <c r="Z71"/>
      <c r="AA71" s="85"/>
      <c r="AB71" s="2"/>
      <c r="AC71" s="2"/>
      <c r="AD71" s="2"/>
      <c r="AE71" s="2"/>
      <c r="AF71" s="2"/>
      <c r="AG71" s="3"/>
      <c r="AH71" s="39"/>
      <c r="AI71" s="37"/>
      <c r="AJ71" s="37"/>
      <c r="AK71" s="31"/>
      <c r="AL71" s="80"/>
      <c r="AM71" s="10"/>
      <c r="AN71" s="10"/>
      <c r="AO71" s="10"/>
      <c r="AP71" s="10"/>
      <c r="AQ71" s="2"/>
      <c r="AR71" s="39"/>
    </row>
    <row r="72" spans="1:44" s="155" customFormat="1">
      <c r="A72" s="102" t="s">
        <v>136</v>
      </c>
      <c r="E72" s="156"/>
      <c r="F72" s="157"/>
      <c r="G72" s="158"/>
      <c r="H72" s="158"/>
      <c r="I72" s="158"/>
      <c r="J72" s="158"/>
      <c r="K72" s="159"/>
      <c r="M72" s="156"/>
      <c r="O72" s="160"/>
      <c r="P72" s="160"/>
      <c r="Q72" s="161"/>
      <c r="R72" s="181"/>
      <c r="S72" s="188"/>
      <c r="T72" s="188"/>
      <c r="U72" s="188"/>
      <c r="V72"/>
      <c r="W72"/>
      <c r="X72"/>
      <c r="Y72"/>
      <c r="Z72"/>
      <c r="AA72" s="162"/>
      <c r="AB72" s="163"/>
      <c r="AC72" s="163"/>
      <c r="AD72" s="163"/>
      <c r="AE72" s="163"/>
      <c r="AF72" s="163"/>
      <c r="AG72" s="164"/>
      <c r="AH72" s="165"/>
      <c r="AI72" s="163"/>
      <c r="AJ72" s="163"/>
      <c r="AK72" s="31"/>
      <c r="AL72" s="166"/>
      <c r="AM72" s="163"/>
      <c r="AN72" s="163"/>
      <c r="AO72" s="163"/>
      <c r="AP72" s="163"/>
      <c r="AQ72" s="163"/>
      <c r="AR72" s="165"/>
    </row>
    <row r="73" spans="1:44" s="38" customFormat="1">
      <c r="A73" s="167" t="s">
        <v>137</v>
      </c>
      <c r="B73" s="40" t="s">
        <v>138</v>
      </c>
      <c r="C73">
        <v>200</v>
      </c>
      <c r="D73" s="40" t="s">
        <v>40</v>
      </c>
      <c r="E73" s="31">
        <v>4</v>
      </c>
      <c r="F73" s="128">
        <f t="shared" ref="F73:F78" si="296">E73*C73</f>
        <v>800</v>
      </c>
      <c r="G73" s="139">
        <v>40</v>
      </c>
      <c r="H73" s="139">
        <v>0</v>
      </c>
      <c r="I73" s="139">
        <v>0</v>
      </c>
      <c r="J73" s="243">
        <v>8</v>
      </c>
      <c r="K73" s="140">
        <v>0</v>
      </c>
      <c r="L73" t="s">
        <v>8</v>
      </c>
      <c r="M73" s="31">
        <f t="shared" ref="M73:M78" si="297">((Shop*G73)+(M_Tech*H73)+(CMM*I73)+(ENG*J73)+(DES*K73))*N73</f>
        <v>6280</v>
      </c>
      <c r="N73">
        <v>1</v>
      </c>
      <c r="O73" s="41">
        <f t="shared" ref="O73:O78" si="298">M73+(N73*F73)</f>
        <v>7080</v>
      </c>
      <c r="P73" s="41"/>
      <c r="Q73" s="108" t="s">
        <v>48</v>
      </c>
      <c r="R73" s="179" t="s">
        <v>91</v>
      </c>
      <c r="S73" s="186" t="str">
        <f t="shared" ref="S73:S78" si="299">CONCATENATE(Q73,R73,AA73)</f>
        <v>BPD2009</v>
      </c>
      <c r="T73" s="186" t="str">
        <f t="shared" ref="T73:T78" si="300">CONCATENATE(Q73,U73,AA73)</f>
        <v>B5.2.22009</v>
      </c>
      <c r="U73" s="186" t="s">
        <v>323</v>
      </c>
      <c r="V73"/>
      <c r="W73"/>
      <c r="X73"/>
      <c r="Y73"/>
      <c r="Z73"/>
      <c r="AA73" s="85">
        <v>2009</v>
      </c>
      <c r="AB73" s="2">
        <f t="shared" ref="AB73:AF78" si="301">IF($Q73="B", (G73*$N73),0)</f>
        <v>40</v>
      </c>
      <c r="AC73" s="2">
        <f t="shared" si="301"/>
        <v>0</v>
      </c>
      <c r="AD73" s="2">
        <f t="shared" si="301"/>
        <v>0</v>
      </c>
      <c r="AE73" s="2">
        <f t="shared" si="301"/>
        <v>8</v>
      </c>
      <c r="AF73" s="2">
        <f t="shared" si="301"/>
        <v>0</v>
      </c>
      <c r="AG73" s="3">
        <f t="shared" ref="AG73:AG78" si="302">IF($Q73="B", (F73*$N73),0)</f>
        <v>800</v>
      </c>
      <c r="AH73" s="39"/>
      <c r="AI73" s="37"/>
      <c r="AJ73" s="37"/>
      <c r="AK73" s="31"/>
      <c r="AL73" s="80">
        <f t="shared" ref="AL73:AP78" si="303">IF($Q73="C", (G73*$N73),0)</f>
        <v>0</v>
      </c>
      <c r="AM73" s="10">
        <f t="shared" si="303"/>
        <v>0</v>
      </c>
      <c r="AN73" s="10">
        <f t="shared" si="303"/>
        <v>0</v>
      </c>
      <c r="AO73" s="10">
        <f t="shared" si="303"/>
        <v>0</v>
      </c>
      <c r="AP73" s="10">
        <f t="shared" si="303"/>
        <v>0</v>
      </c>
      <c r="AQ73" s="2">
        <f t="shared" ref="AQ73:AQ78" si="304">IF($Q73="C", (F73*$N73),0)</f>
        <v>0</v>
      </c>
      <c r="AR73" s="39"/>
    </row>
    <row r="74" spans="1:44" s="38" customFormat="1">
      <c r="A74" s="167" t="s">
        <v>155</v>
      </c>
      <c r="B74" s="40" t="s">
        <v>34</v>
      </c>
      <c r="C74">
        <v>0</v>
      </c>
      <c r="D74" s="40" t="s">
        <v>9</v>
      </c>
      <c r="E74" s="172">
        <v>0</v>
      </c>
      <c r="F74" s="128">
        <f t="shared" ref="F74" si="305">E74*C74</f>
        <v>0</v>
      </c>
      <c r="G74" s="139">
        <v>4</v>
      </c>
      <c r="H74" s="139">
        <v>8</v>
      </c>
      <c r="I74" s="139">
        <v>0</v>
      </c>
      <c r="J74" s="139">
        <v>16</v>
      </c>
      <c r="K74" s="140">
        <v>0</v>
      </c>
      <c r="L74" t="s">
        <v>8</v>
      </c>
      <c r="M74" s="31">
        <f t="shared" ref="M74" si="306">((Shop*G74)+(M_Tech*H74)+(CMM*I74)+(ENG*J74)+(DES*K74))*N74</f>
        <v>3844</v>
      </c>
      <c r="N74">
        <v>1</v>
      </c>
      <c r="O74" s="41">
        <f t="shared" ref="O74" si="307">M74+(N74*F74)</f>
        <v>3844</v>
      </c>
      <c r="P74" s="41"/>
      <c r="Q74" s="249" t="s">
        <v>49</v>
      </c>
      <c r="R74" s="179" t="s">
        <v>91</v>
      </c>
      <c r="S74" s="186" t="str">
        <f t="shared" ref="S74" si="308">CONCATENATE(Q74,R74,AA74)</f>
        <v>CPD2009</v>
      </c>
      <c r="T74" s="186" t="str">
        <f t="shared" si="300"/>
        <v>C5.2.22009</v>
      </c>
      <c r="U74" s="186" t="s">
        <v>323</v>
      </c>
      <c r="V74"/>
      <c r="W74"/>
      <c r="X74"/>
      <c r="Y74"/>
      <c r="Z74"/>
      <c r="AA74" s="85">
        <v>2009</v>
      </c>
      <c r="AB74" s="2">
        <f t="shared" si="301"/>
        <v>0</v>
      </c>
      <c r="AC74" s="2">
        <f t="shared" si="301"/>
        <v>0</v>
      </c>
      <c r="AD74" s="2">
        <f t="shared" si="301"/>
        <v>0</v>
      </c>
      <c r="AE74" s="2">
        <f t="shared" si="301"/>
        <v>0</v>
      </c>
      <c r="AF74" s="2">
        <f t="shared" si="301"/>
        <v>0</v>
      </c>
      <c r="AG74" s="3">
        <f t="shared" si="302"/>
        <v>0</v>
      </c>
      <c r="AH74" s="39"/>
      <c r="AI74" s="37"/>
      <c r="AJ74" s="37"/>
      <c r="AK74" s="31"/>
      <c r="AL74" s="80">
        <f t="shared" si="303"/>
        <v>4</v>
      </c>
      <c r="AM74" s="10">
        <f t="shared" si="303"/>
        <v>8</v>
      </c>
      <c r="AN74" s="10">
        <f t="shared" si="303"/>
        <v>0</v>
      </c>
      <c r="AO74" s="10">
        <f t="shared" si="303"/>
        <v>16</v>
      </c>
      <c r="AP74" s="10">
        <f t="shared" si="303"/>
        <v>0</v>
      </c>
      <c r="AQ74" s="2">
        <f t="shared" si="304"/>
        <v>0</v>
      </c>
      <c r="AR74" s="39"/>
    </row>
    <row r="75" spans="1:44" s="38" customFormat="1">
      <c r="A75" s="167" t="s">
        <v>139</v>
      </c>
      <c r="B75" s="40" t="s">
        <v>140</v>
      </c>
      <c r="C75">
        <v>1</v>
      </c>
      <c r="D75" s="40" t="s">
        <v>9</v>
      </c>
      <c r="E75" s="245">
        <v>1200</v>
      </c>
      <c r="F75" s="128">
        <f t="shared" si="296"/>
        <v>1200</v>
      </c>
      <c r="G75" s="243">
        <v>4</v>
      </c>
      <c r="H75" s="243">
        <v>0</v>
      </c>
      <c r="I75" s="139">
        <v>0</v>
      </c>
      <c r="J75" s="139">
        <v>4</v>
      </c>
      <c r="K75" s="140">
        <v>0</v>
      </c>
      <c r="L75" t="s">
        <v>8</v>
      </c>
      <c r="M75" s="31">
        <f t="shared" si="297"/>
        <v>1108</v>
      </c>
      <c r="N75">
        <v>1</v>
      </c>
      <c r="O75" s="41">
        <f t="shared" si="298"/>
        <v>2308</v>
      </c>
      <c r="P75" s="41"/>
      <c r="Q75" s="108" t="s">
        <v>48</v>
      </c>
      <c r="R75" s="179" t="s">
        <v>91</v>
      </c>
      <c r="S75" s="186" t="str">
        <f t="shared" si="299"/>
        <v>BPD2009</v>
      </c>
      <c r="T75" s="186" t="str">
        <f t="shared" si="300"/>
        <v>B5.2.22009</v>
      </c>
      <c r="U75" s="186" t="s">
        <v>323</v>
      </c>
      <c r="V75"/>
      <c r="W75"/>
      <c r="X75"/>
      <c r="Y75"/>
      <c r="Z75"/>
      <c r="AA75" s="85">
        <v>2009</v>
      </c>
      <c r="AB75" s="2">
        <f t="shared" si="301"/>
        <v>4</v>
      </c>
      <c r="AC75" s="2">
        <f t="shared" si="301"/>
        <v>0</v>
      </c>
      <c r="AD75" s="2">
        <f t="shared" si="301"/>
        <v>0</v>
      </c>
      <c r="AE75" s="2">
        <f t="shared" si="301"/>
        <v>4</v>
      </c>
      <c r="AF75" s="2">
        <f t="shared" si="301"/>
        <v>0</v>
      </c>
      <c r="AG75" s="3">
        <f t="shared" si="302"/>
        <v>1200</v>
      </c>
      <c r="AH75" s="39"/>
      <c r="AI75" s="37"/>
      <c r="AJ75" s="37"/>
      <c r="AK75" s="31"/>
      <c r="AL75" s="80">
        <f t="shared" si="303"/>
        <v>0</v>
      </c>
      <c r="AM75" s="10">
        <f t="shared" si="303"/>
        <v>0</v>
      </c>
      <c r="AN75" s="10">
        <f t="shared" si="303"/>
        <v>0</v>
      </c>
      <c r="AO75" s="10">
        <f t="shared" si="303"/>
        <v>0</v>
      </c>
      <c r="AP75" s="10">
        <f t="shared" si="303"/>
        <v>0</v>
      </c>
      <c r="AQ75" s="2">
        <f t="shared" si="304"/>
        <v>0</v>
      </c>
      <c r="AR75" s="39"/>
    </row>
    <row r="76" spans="1:44" s="38" customFormat="1">
      <c r="A76" s="167" t="s">
        <v>153</v>
      </c>
      <c r="B76" s="40" t="s">
        <v>34</v>
      </c>
      <c r="C76">
        <v>0</v>
      </c>
      <c r="D76" s="40" t="s">
        <v>9</v>
      </c>
      <c r="E76" s="31">
        <v>0</v>
      </c>
      <c r="F76" s="128">
        <f t="shared" ref="F76:F77" si="309">E76*C76</f>
        <v>0</v>
      </c>
      <c r="G76" s="243">
        <v>24</v>
      </c>
      <c r="H76" s="139">
        <v>0</v>
      </c>
      <c r="I76" s="139">
        <v>0</v>
      </c>
      <c r="J76" s="139">
        <v>24</v>
      </c>
      <c r="K76" s="140">
        <v>0</v>
      </c>
      <c r="L76" t="s">
        <v>8</v>
      </c>
      <c r="M76" s="31">
        <f t="shared" ref="M76:M77" si="310">((Shop*G76)+(M_Tech*H76)+(CMM*I76)+(ENG*J76)+(DES*K76))*N76</f>
        <v>6648</v>
      </c>
      <c r="N76">
        <v>1</v>
      </c>
      <c r="O76" s="41">
        <f t="shared" ref="O76:O77" si="311">M76+(N76*F76)</f>
        <v>6648</v>
      </c>
      <c r="P76" s="41"/>
      <c r="Q76" s="108" t="s">
        <v>49</v>
      </c>
      <c r="R76" s="179" t="s">
        <v>91</v>
      </c>
      <c r="S76" s="186" t="str">
        <f t="shared" ref="S76:S77" si="312">CONCATENATE(Q76,R76,AA76)</f>
        <v>CPD2009</v>
      </c>
      <c r="T76" s="186" t="str">
        <f t="shared" si="300"/>
        <v>C5.2.22009</v>
      </c>
      <c r="U76" s="186" t="s">
        <v>323</v>
      </c>
      <c r="V76"/>
      <c r="W76"/>
      <c r="X76"/>
      <c r="Y76"/>
      <c r="Z76"/>
      <c r="AA76" s="85">
        <v>2009</v>
      </c>
      <c r="AB76" s="2">
        <f t="shared" si="301"/>
        <v>0</v>
      </c>
      <c r="AC76" s="2">
        <f t="shared" si="301"/>
        <v>0</v>
      </c>
      <c r="AD76" s="2">
        <f t="shared" si="301"/>
        <v>0</v>
      </c>
      <c r="AE76" s="2">
        <f t="shared" si="301"/>
        <v>0</v>
      </c>
      <c r="AF76" s="2">
        <f t="shared" si="301"/>
        <v>0</v>
      </c>
      <c r="AG76" s="3">
        <f t="shared" si="302"/>
        <v>0</v>
      </c>
      <c r="AH76" s="39"/>
      <c r="AI76" s="37"/>
      <c r="AJ76" s="37"/>
      <c r="AK76" s="31"/>
      <c r="AL76" s="80">
        <f t="shared" si="303"/>
        <v>24</v>
      </c>
      <c r="AM76" s="10">
        <f t="shared" si="303"/>
        <v>0</v>
      </c>
      <c r="AN76" s="10">
        <f t="shared" si="303"/>
        <v>0</v>
      </c>
      <c r="AO76" s="10">
        <f t="shared" si="303"/>
        <v>24</v>
      </c>
      <c r="AP76" s="10">
        <f t="shared" si="303"/>
        <v>0</v>
      </c>
      <c r="AQ76" s="2">
        <f t="shared" si="304"/>
        <v>0</v>
      </c>
      <c r="AR76" s="39"/>
    </row>
    <row r="77" spans="1:44" s="38" customFormat="1">
      <c r="A77" s="167" t="s">
        <v>154</v>
      </c>
      <c r="B77" s="40" t="s">
        <v>140</v>
      </c>
      <c r="C77">
        <v>1</v>
      </c>
      <c r="D77" s="40" t="s">
        <v>9</v>
      </c>
      <c r="E77" s="245">
        <v>1200</v>
      </c>
      <c r="F77" s="128">
        <f t="shared" si="309"/>
        <v>1200</v>
      </c>
      <c r="G77" s="243">
        <v>4</v>
      </c>
      <c r="H77" s="243">
        <v>0</v>
      </c>
      <c r="I77" s="139">
        <v>0</v>
      </c>
      <c r="J77" s="139">
        <v>4</v>
      </c>
      <c r="K77" s="140">
        <v>0</v>
      </c>
      <c r="L77" t="s">
        <v>8</v>
      </c>
      <c r="M77" s="31">
        <f t="shared" si="310"/>
        <v>1108</v>
      </c>
      <c r="N77">
        <v>1</v>
      </c>
      <c r="O77" s="41">
        <f t="shared" si="311"/>
        <v>2308</v>
      </c>
      <c r="P77" s="41"/>
      <c r="Q77" s="108" t="s">
        <v>49</v>
      </c>
      <c r="R77" s="179" t="s">
        <v>91</v>
      </c>
      <c r="S77" s="186" t="str">
        <f t="shared" si="312"/>
        <v>CPD2009</v>
      </c>
      <c r="T77" s="186" t="str">
        <f t="shared" si="300"/>
        <v>C5.2.22009</v>
      </c>
      <c r="U77" s="186" t="s">
        <v>323</v>
      </c>
      <c r="V77"/>
      <c r="W77"/>
      <c r="X77"/>
      <c r="Y77"/>
      <c r="Z77"/>
      <c r="AA77" s="85">
        <v>2009</v>
      </c>
      <c r="AB77" s="2">
        <f t="shared" si="301"/>
        <v>0</v>
      </c>
      <c r="AC77" s="2">
        <f t="shared" si="301"/>
        <v>0</v>
      </c>
      <c r="AD77" s="2">
        <f t="shared" si="301"/>
        <v>0</v>
      </c>
      <c r="AE77" s="2">
        <f t="shared" si="301"/>
        <v>0</v>
      </c>
      <c r="AF77" s="2">
        <f t="shared" si="301"/>
        <v>0</v>
      </c>
      <c r="AG77" s="3">
        <f t="shared" si="302"/>
        <v>0</v>
      </c>
      <c r="AH77" s="39"/>
      <c r="AI77" s="37"/>
      <c r="AJ77" s="37"/>
      <c r="AK77" s="31"/>
      <c r="AL77" s="80">
        <f t="shared" si="303"/>
        <v>4</v>
      </c>
      <c r="AM77" s="10">
        <f t="shared" si="303"/>
        <v>0</v>
      </c>
      <c r="AN77" s="10">
        <f t="shared" si="303"/>
        <v>0</v>
      </c>
      <c r="AO77" s="10">
        <f t="shared" si="303"/>
        <v>4</v>
      </c>
      <c r="AP77" s="10">
        <f t="shared" si="303"/>
        <v>0</v>
      </c>
      <c r="AQ77" s="2">
        <f t="shared" si="304"/>
        <v>1200</v>
      </c>
      <c r="AR77" s="39"/>
    </row>
    <row r="78" spans="1:44" s="38" customFormat="1">
      <c r="A78" s="167" t="s">
        <v>141</v>
      </c>
      <c r="B78" s="40" t="s">
        <v>7</v>
      </c>
      <c r="C78">
        <v>20</v>
      </c>
      <c r="D78" s="40" t="s">
        <v>40</v>
      </c>
      <c r="E78" s="31">
        <v>8</v>
      </c>
      <c r="F78" s="128">
        <f t="shared" si="296"/>
        <v>160</v>
      </c>
      <c r="G78" s="139">
        <v>24</v>
      </c>
      <c r="H78" s="139">
        <v>0</v>
      </c>
      <c r="I78" s="139">
        <v>0</v>
      </c>
      <c r="J78" s="139">
        <v>24</v>
      </c>
      <c r="K78" s="140">
        <v>0</v>
      </c>
      <c r="L78" t="s">
        <v>8</v>
      </c>
      <c r="M78" s="31">
        <f t="shared" si="297"/>
        <v>6648</v>
      </c>
      <c r="N78">
        <v>1</v>
      </c>
      <c r="O78" s="41">
        <f t="shared" si="298"/>
        <v>6808</v>
      </c>
      <c r="P78" s="41"/>
      <c r="Q78" s="108" t="s">
        <v>48</v>
      </c>
      <c r="R78" s="179" t="s">
        <v>91</v>
      </c>
      <c r="S78" s="186" t="str">
        <f t="shared" si="299"/>
        <v>BPD2009</v>
      </c>
      <c r="T78" s="186" t="str">
        <f t="shared" si="300"/>
        <v>B5.2.22009</v>
      </c>
      <c r="U78" s="186" t="s">
        <v>323</v>
      </c>
      <c r="V78"/>
      <c r="W78"/>
      <c r="X78"/>
      <c r="Y78"/>
      <c r="Z78"/>
      <c r="AA78" s="85">
        <v>2009</v>
      </c>
      <c r="AB78" s="2">
        <f t="shared" si="301"/>
        <v>24</v>
      </c>
      <c r="AC78" s="2">
        <f t="shared" si="301"/>
        <v>0</v>
      </c>
      <c r="AD78" s="2">
        <f t="shared" si="301"/>
        <v>0</v>
      </c>
      <c r="AE78" s="2">
        <f t="shared" si="301"/>
        <v>24</v>
      </c>
      <c r="AF78" s="2">
        <f t="shared" si="301"/>
        <v>0</v>
      </c>
      <c r="AG78" s="3">
        <f t="shared" si="302"/>
        <v>160</v>
      </c>
      <c r="AH78" s="39"/>
      <c r="AI78" s="37"/>
      <c r="AJ78" s="37"/>
      <c r="AK78" s="31"/>
      <c r="AL78" s="80">
        <f t="shared" si="303"/>
        <v>0</v>
      </c>
      <c r="AM78" s="10">
        <f t="shared" si="303"/>
        <v>0</v>
      </c>
      <c r="AN78" s="10">
        <f t="shared" si="303"/>
        <v>0</v>
      </c>
      <c r="AO78" s="10">
        <f t="shared" si="303"/>
        <v>0</v>
      </c>
      <c r="AP78" s="10">
        <f t="shared" si="303"/>
        <v>0</v>
      </c>
      <c r="AQ78" s="2">
        <f t="shared" si="304"/>
        <v>0</v>
      </c>
      <c r="AR78" s="39"/>
    </row>
    <row r="79" spans="1:44" s="155" customFormat="1">
      <c r="A79" s="102" t="s">
        <v>194</v>
      </c>
      <c r="E79" s="156"/>
      <c r="F79" s="157"/>
      <c r="G79" s="158"/>
      <c r="H79" s="158"/>
      <c r="I79" s="158"/>
      <c r="J79" s="158"/>
      <c r="K79" s="159"/>
      <c r="L79" s="169" t="s">
        <v>78</v>
      </c>
      <c r="M79" s="170">
        <f>SUMIF(Q73:Q78,"B",M73:M78)</f>
        <v>14036</v>
      </c>
      <c r="N79" s="171" t="s">
        <v>78</v>
      </c>
      <c r="O79" s="170">
        <f>SUMIF(Q73:Q78,"B",O73:O78)</f>
        <v>16196</v>
      </c>
      <c r="P79" s="160"/>
      <c r="Q79" s="161"/>
      <c r="R79" s="181"/>
      <c r="S79" s="188"/>
      <c r="T79" s="188"/>
      <c r="U79" s="188"/>
      <c r="V79"/>
      <c r="W79"/>
      <c r="X79"/>
      <c r="Y79"/>
      <c r="Z79"/>
      <c r="AA79" s="162"/>
      <c r="AB79" s="163"/>
      <c r="AC79" s="163"/>
      <c r="AD79" s="163"/>
      <c r="AE79" s="163"/>
      <c r="AF79" s="163"/>
      <c r="AG79" s="164"/>
      <c r="AH79" s="165"/>
      <c r="AI79" s="163"/>
      <c r="AJ79" s="163"/>
      <c r="AK79" s="31"/>
      <c r="AL79" s="166"/>
      <c r="AM79" s="163"/>
      <c r="AN79" s="163"/>
      <c r="AO79" s="163"/>
      <c r="AP79" s="163"/>
      <c r="AQ79" s="163"/>
      <c r="AR79" s="165"/>
    </row>
    <row r="80" spans="1:44" s="38" customFormat="1">
      <c r="A80" s="167" t="s">
        <v>142</v>
      </c>
      <c r="B80" s="40" t="s">
        <v>7</v>
      </c>
      <c r="C80">
        <v>40</v>
      </c>
      <c r="D80" s="40" t="s">
        <v>40</v>
      </c>
      <c r="E80" s="31">
        <v>8</v>
      </c>
      <c r="F80" s="128">
        <f>E80*C80</f>
        <v>320</v>
      </c>
      <c r="G80" s="243">
        <v>0</v>
      </c>
      <c r="H80" s="243">
        <v>8</v>
      </c>
      <c r="I80" s="139">
        <v>0</v>
      </c>
      <c r="J80" s="139">
        <v>8</v>
      </c>
      <c r="K80" s="140">
        <v>0</v>
      </c>
      <c r="L80" t="s">
        <v>8</v>
      </c>
      <c r="M80" s="31">
        <f>((Shop*G80)+(M_Tech*H80)+(CMM*I80)+(ENG*J80)+(DES*K80))*N80</f>
        <v>2136</v>
      </c>
      <c r="N80">
        <v>1</v>
      </c>
      <c r="O80" s="41">
        <f>M80+(N80*F80)</f>
        <v>2456</v>
      </c>
      <c r="P80" s="41"/>
      <c r="Q80" s="108" t="s">
        <v>48</v>
      </c>
      <c r="R80" s="179" t="s">
        <v>91</v>
      </c>
      <c r="S80" s="186" t="str">
        <f t="shared" ref="S80:S81" si="313">CONCATENATE(Q80,R80,AA80)</f>
        <v>BPD2009</v>
      </c>
      <c r="T80" s="186" t="str">
        <f>CONCATENATE(Q80,U80,AA80)</f>
        <v>B5.2.22009</v>
      </c>
      <c r="U80" s="186" t="s">
        <v>323</v>
      </c>
      <c r="V80"/>
      <c r="W80"/>
      <c r="X80"/>
      <c r="Y80"/>
      <c r="Z80"/>
      <c r="AA80" s="85">
        <v>2009</v>
      </c>
      <c r="AB80" s="2">
        <f t="shared" ref="AB80:AF81" si="314">IF($Q80="B", (G80*$N80),0)</f>
        <v>0</v>
      </c>
      <c r="AC80" s="2">
        <f t="shared" si="314"/>
        <v>8</v>
      </c>
      <c r="AD80" s="2">
        <f t="shared" si="314"/>
        <v>0</v>
      </c>
      <c r="AE80" s="2">
        <f t="shared" si="314"/>
        <v>8</v>
      </c>
      <c r="AF80" s="2">
        <f t="shared" si="314"/>
        <v>0</v>
      </c>
      <c r="AG80" s="3">
        <f>IF($Q80="B", (F80*$N80),0)</f>
        <v>320</v>
      </c>
      <c r="AH80" s="39"/>
      <c r="AI80" s="37"/>
      <c r="AJ80" s="37"/>
      <c r="AK80" s="31"/>
      <c r="AL80" s="80">
        <f t="shared" ref="AL80:AP81" si="315">IF($Q80="C", (G80*$N80),0)</f>
        <v>0</v>
      </c>
      <c r="AM80" s="10">
        <f t="shared" si="315"/>
        <v>0</v>
      </c>
      <c r="AN80" s="10">
        <f t="shared" si="315"/>
        <v>0</v>
      </c>
      <c r="AO80" s="10">
        <f t="shared" si="315"/>
        <v>0</v>
      </c>
      <c r="AP80" s="10">
        <f t="shared" si="315"/>
        <v>0</v>
      </c>
      <c r="AQ80" s="2">
        <f>IF($Q80="C", (F80*$N80),0)</f>
        <v>0</v>
      </c>
      <c r="AR80" s="39"/>
    </row>
    <row r="81" spans="1:44" s="38" customFormat="1">
      <c r="A81" s="167" t="s">
        <v>143</v>
      </c>
      <c r="B81" s="40" t="s">
        <v>7</v>
      </c>
      <c r="C81">
        <v>40</v>
      </c>
      <c r="D81" s="40" t="s">
        <v>40</v>
      </c>
      <c r="E81" s="31">
        <v>8</v>
      </c>
      <c r="F81" s="128">
        <f>E81*C81</f>
        <v>320</v>
      </c>
      <c r="G81" s="139">
        <v>16</v>
      </c>
      <c r="H81" s="139">
        <v>0</v>
      </c>
      <c r="I81" s="139">
        <v>0</v>
      </c>
      <c r="J81" s="139">
        <v>8</v>
      </c>
      <c r="K81" s="140">
        <v>0</v>
      </c>
      <c r="L81" t="s">
        <v>8</v>
      </c>
      <c r="M81" s="31">
        <f>((Shop*G81)+(M_Tech*H81)+(CMM*I81)+(ENG*J81)+(DES*K81))*N81</f>
        <v>3232</v>
      </c>
      <c r="N81">
        <v>1</v>
      </c>
      <c r="O81" s="41">
        <f>M81+(N81*F81)</f>
        <v>3552</v>
      </c>
      <c r="P81" s="41"/>
      <c r="Q81" s="108" t="s">
        <v>48</v>
      </c>
      <c r="R81" s="179" t="s">
        <v>91</v>
      </c>
      <c r="S81" s="186" t="str">
        <f t="shared" si="313"/>
        <v>BPD2009</v>
      </c>
      <c r="T81" s="186" t="str">
        <f>CONCATENATE(Q81,U81,AA81)</f>
        <v>B5.2.22009</v>
      </c>
      <c r="U81" s="186" t="s">
        <v>323</v>
      </c>
      <c r="V81"/>
      <c r="W81"/>
      <c r="X81"/>
      <c r="Y81"/>
      <c r="Z81"/>
      <c r="AA81" s="85">
        <v>2009</v>
      </c>
      <c r="AB81" s="2">
        <f t="shared" si="314"/>
        <v>16</v>
      </c>
      <c r="AC81" s="2">
        <f t="shared" si="314"/>
        <v>0</v>
      </c>
      <c r="AD81" s="2">
        <f t="shared" si="314"/>
        <v>0</v>
      </c>
      <c r="AE81" s="2">
        <f t="shared" si="314"/>
        <v>8</v>
      </c>
      <c r="AF81" s="2">
        <f t="shared" si="314"/>
        <v>0</v>
      </c>
      <c r="AG81" s="3">
        <f>IF($Q81="B", (F81*$N81),0)</f>
        <v>320</v>
      </c>
      <c r="AH81" s="39"/>
      <c r="AI81" s="37"/>
      <c r="AJ81" s="37"/>
      <c r="AK81" s="31"/>
      <c r="AL81" s="80">
        <f t="shared" si="315"/>
        <v>0</v>
      </c>
      <c r="AM81" s="10">
        <f t="shared" si="315"/>
        <v>0</v>
      </c>
      <c r="AN81" s="10">
        <f t="shared" si="315"/>
        <v>0</v>
      </c>
      <c r="AO81" s="10">
        <f t="shared" si="315"/>
        <v>0</v>
      </c>
      <c r="AP81" s="10">
        <f t="shared" si="315"/>
        <v>0</v>
      </c>
      <c r="AQ81" s="2">
        <f>IF($Q81="C", (F81*$N81),0)</f>
        <v>0</v>
      </c>
      <c r="AR81" s="39"/>
    </row>
    <row r="82" spans="1:44" s="155" customFormat="1">
      <c r="A82" s="102" t="s">
        <v>144</v>
      </c>
      <c r="E82" s="156"/>
      <c r="F82" s="157"/>
      <c r="G82" s="158"/>
      <c r="H82" s="158"/>
      <c r="I82" s="158"/>
      <c r="J82" s="158"/>
      <c r="K82" s="159"/>
      <c r="L82" s="169" t="s">
        <v>78</v>
      </c>
      <c r="M82" s="170">
        <f>SUMIF(Q80:Q81,"B",M80:M81)</f>
        <v>5368</v>
      </c>
      <c r="N82" s="171" t="s">
        <v>78</v>
      </c>
      <c r="O82" s="170">
        <f ca="1">SUMIF(Q80:Z81,"B",O80:O81)</f>
        <v>6008</v>
      </c>
      <c r="P82" s="160"/>
      <c r="Q82" s="161"/>
      <c r="R82" s="181"/>
      <c r="S82" s="188"/>
      <c r="T82" s="188"/>
      <c r="U82" s="188"/>
      <c r="V82"/>
      <c r="W82"/>
      <c r="X82"/>
      <c r="Y82"/>
      <c r="Z82"/>
      <c r="AA82" s="162"/>
      <c r="AB82" s="163"/>
      <c r="AC82" s="163"/>
      <c r="AD82" s="163"/>
      <c r="AE82" s="163"/>
      <c r="AF82" s="163"/>
      <c r="AG82" s="164"/>
      <c r="AH82" s="165"/>
      <c r="AI82" s="163"/>
      <c r="AJ82" s="163"/>
      <c r="AK82" s="31"/>
      <c r="AL82" s="166"/>
      <c r="AM82" s="163"/>
      <c r="AN82" s="163"/>
      <c r="AO82" s="163"/>
      <c r="AP82" s="163"/>
      <c r="AQ82" s="163"/>
      <c r="AR82" s="165"/>
    </row>
    <row r="83" spans="1:44" s="38" customFormat="1">
      <c r="A83" s="167" t="s">
        <v>145</v>
      </c>
      <c r="B83" s="40" t="s">
        <v>7</v>
      </c>
      <c r="C83">
        <v>20</v>
      </c>
      <c r="D83" s="40" t="s">
        <v>9</v>
      </c>
      <c r="E83" s="31">
        <v>8</v>
      </c>
      <c r="F83" s="128">
        <f t="shared" ref="F83:F85" si="316">E83*C83</f>
        <v>160</v>
      </c>
      <c r="G83" s="139">
        <v>16</v>
      </c>
      <c r="H83" s="139">
        <v>4</v>
      </c>
      <c r="I83" s="139">
        <v>0</v>
      </c>
      <c r="J83" s="139">
        <v>8</v>
      </c>
      <c r="K83" s="140">
        <v>0</v>
      </c>
      <c r="L83" t="s">
        <v>8</v>
      </c>
      <c r="M83" s="31">
        <f t="shared" ref="M83:M85" si="317">((Shop*G83)+(M_Tech*H83)+(CMM*I83)+(ENG*J83)+(DES*K83))*N83</f>
        <v>0</v>
      </c>
      <c r="N83" s="242">
        <v>0</v>
      </c>
      <c r="O83" s="41">
        <f t="shared" ref="O83:O85" si="318">M83+(N83*F83)</f>
        <v>0</v>
      </c>
      <c r="P83" s="41"/>
      <c r="Q83" s="108" t="s">
        <v>48</v>
      </c>
      <c r="R83" s="179" t="s">
        <v>91</v>
      </c>
      <c r="S83" s="186" t="str">
        <f t="shared" ref="S83:S85" si="319">CONCATENATE(Q83,R83,AA83)</f>
        <v>BPD2009</v>
      </c>
      <c r="T83" s="186" t="str">
        <f t="shared" ref="T83:T86" si="320">CONCATENATE(Q83,U83,AA83)</f>
        <v>B5.2.22009</v>
      </c>
      <c r="U83" s="186" t="s">
        <v>323</v>
      </c>
      <c r="V83"/>
      <c r="W83"/>
      <c r="X83"/>
      <c r="Y83"/>
      <c r="Z83"/>
      <c r="AA83" s="85">
        <v>2009</v>
      </c>
      <c r="AB83" s="2">
        <f t="shared" ref="AB83:AF86" si="321">IF($Q83="B", (G83*$N83),0)</f>
        <v>0</v>
      </c>
      <c r="AC83" s="2">
        <f t="shared" si="321"/>
        <v>0</v>
      </c>
      <c r="AD83" s="2">
        <f t="shared" si="321"/>
        <v>0</v>
      </c>
      <c r="AE83" s="2">
        <f t="shared" si="321"/>
        <v>0</v>
      </c>
      <c r="AF83" s="2">
        <f t="shared" si="321"/>
        <v>0</v>
      </c>
      <c r="AG83" s="3">
        <f>IF($Q83="B", (F83*$N83),0)</f>
        <v>0</v>
      </c>
      <c r="AH83" s="39"/>
      <c r="AI83" s="37"/>
      <c r="AJ83" s="37"/>
      <c r="AK83" s="31"/>
      <c r="AL83" s="80">
        <f t="shared" ref="AL83:AP86" si="322">IF($Q83="C", (G83*$N83),0)</f>
        <v>0</v>
      </c>
      <c r="AM83" s="10">
        <f t="shared" si="322"/>
        <v>0</v>
      </c>
      <c r="AN83" s="10">
        <f t="shared" si="322"/>
        <v>0</v>
      </c>
      <c r="AO83" s="10">
        <f t="shared" si="322"/>
        <v>0</v>
      </c>
      <c r="AP83" s="10">
        <f t="shared" si="322"/>
        <v>0</v>
      </c>
      <c r="AQ83" s="2">
        <f>IF($Q83="C", (F83*$N83),0)</f>
        <v>0</v>
      </c>
      <c r="AR83" s="39"/>
    </row>
    <row r="84" spans="1:44" s="38" customFormat="1">
      <c r="A84" s="167" t="s">
        <v>146</v>
      </c>
      <c r="B84" s="40" t="s">
        <v>7</v>
      </c>
      <c r="C84">
        <v>30</v>
      </c>
      <c r="D84" s="40" t="s">
        <v>9</v>
      </c>
      <c r="E84" s="31">
        <v>8</v>
      </c>
      <c r="F84" s="128">
        <f t="shared" si="316"/>
        <v>240</v>
      </c>
      <c r="G84" s="139">
        <v>24</v>
      </c>
      <c r="H84" s="139">
        <v>4</v>
      </c>
      <c r="I84" s="139">
        <v>0</v>
      </c>
      <c r="J84" s="139">
        <v>16</v>
      </c>
      <c r="K84" s="140">
        <v>0</v>
      </c>
      <c r="L84" t="s">
        <v>8</v>
      </c>
      <c r="M84" s="31">
        <f t="shared" si="317"/>
        <v>5916</v>
      </c>
      <c r="N84">
        <v>1</v>
      </c>
      <c r="O84" s="41">
        <f t="shared" si="318"/>
        <v>6156</v>
      </c>
      <c r="P84" s="41"/>
      <c r="Q84" s="108" t="s">
        <v>48</v>
      </c>
      <c r="R84" s="179" t="s">
        <v>91</v>
      </c>
      <c r="S84" s="186" t="str">
        <f t="shared" si="319"/>
        <v>BPD2009</v>
      </c>
      <c r="T84" s="186" t="str">
        <f t="shared" si="320"/>
        <v>B5.2.22009</v>
      </c>
      <c r="U84" s="186" t="s">
        <v>323</v>
      </c>
      <c r="V84"/>
      <c r="W84"/>
      <c r="X84"/>
      <c r="Y84"/>
      <c r="Z84"/>
      <c r="AA84" s="85">
        <v>2009</v>
      </c>
      <c r="AB84" s="2">
        <f t="shared" si="321"/>
        <v>24</v>
      </c>
      <c r="AC84" s="2">
        <f t="shared" si="321"/>
        <v>4</v>
      </c>
      <c r="AD84" s="2">
        <f t="shared" si="321"/>
        <v>0</v>
      </c>
      <c r="AE84" s="2">
        <f t="shared" si="321"/>
        <v>16</v>
      </c>
      <c r="AF84" s="2">
        <f t="shared" si="321"/>
        <v>0</v>
      </c>
      <c r="AG84" s="3">
        <f>IF($Q84="B", (F84*$N84),0)</f>
        <v>240</v>
      </c>
      <c r="AH84" s="39"/>
      <c r="AI84" s="37"/>
      <c r="AJ84" s="37"/>
      <c r="AK84" s="31"/>
      <c r="AL84" s="80">
        <f t="shared" si="322"/>
        <v>0</v>
      </c>
      <c r="AM84" s="10">
        <f t="shared" si="322"/>
        <v>0</v>
      </c>
      <c r="AN84" s="10">
        <f t="shared" si="322"/>
        <v>0</v>
      </c>
      <c r="AO84" s="10">
        <f t="shared" si="322"/>
        <v>0</v>
      </c>
      <c r="AP84" s="10">
        <f t="shared" si="322"/>
        <v>0</v>
      </c>
      <c r="AQ84" s="2">
        <f>IF($Q84="C", (F84*$N84),0)</f>
        <v>0</v>
      </c>
      <c r="AR84" s="39"/>
    </row>
    <row r="85" spans="1:44" s="38" customFormat="1">
      <c r="A85" s="167" t="s">
        <v>147</v>
      </c>
      <c r="B85" s="40" t="s">
        <v>7</v>
      </c>
      <c r="C85">
        <v>20</v>
      </c>
      <c r="D85" s="40" t="s">
        <v>9</v>
      </c>
      <c r="E85" s="31">
        <v>8</v>
      </c>
      <c r="F85" s="128">
        <f t="shared" si="316"/>
        <v>160</v>
      </c>
      <c r="G85" s="139">
        <v>24</v>
      </c>
      <c r="H85" s="139">
        <v>4</v>
      </c>
      <c r="I85" s="139">
        <v>0</v>
      </c>
      <c r="J85" s="139">
        <v>16</v>
      </c>
      <c r="K85" s="140">
        <v>0</v>
      </c>
      <c r="L85" t="s">
        <v>8</v>
      </c>
      <c r="M85" s="31">
        <f t="shared" si="317"/>
        <v>0</v>
      </c>
      <c r="N85" s="242">
        <v>0</v>
      </c>
      <c r="O85" s="41">
        <f t="shared" si="318"/>
        <v>0</v>
      </c>
      <c r="P85" s="41"/>
      <c r="Q85" s="108" t="s">
        <v>49</v>
      </c>
      <c r="R85" s="179" t="s">
        <v>91</v>
      </c>
      <c r="S85" s="186" t="str">
        <f t="shared" si="319"/>
        <v>CPD2009</v>
      </c>
      <c r="T85" s="186" t="str">
        <f t="shared" si="320"/>
        <v>C5.2.22009</v>
      </c>
      <c r="U85" s="186" t="s">
        <v>323</v>
      </c>
      <c r="V85"/>
      <c r="W85"/>
      <c r="X85"/>
      <c r="Y85"/>
      <c r="Z85"/>
      <c r="AA85" s="85">
        <v>2009</v>
      </c>
      <c r="AB85" s="2">
        <f t="shared" si="321"/>
        <v>0</v>
      </c>
      <c r="AC85" s="2">
        <f t="shared" si="321"/>
        <v>0</v>
      </c>
      <c r="AD85" s="2">
        <f t="shared" si="321"/>
        <v>0</v>
      </c>
      <c r="AE85" s="2">
        <f t="shared" si="321"/>
        <v>0</v>
      </c>
      <c r="AF85" s="2">
        <f t="shared" si="321"/>
        <v>0</v>
      </c>
      <c r="AG85" s="3">
        <f>IF($Q85="B", (F85*$N85),0)</f>
        <v>0</v>
      </c>
      <c r="AH85" s="39"/>
      <c r="AI85" s="37"/>
      <c r="AJ85" s="37"/>
      <c r="AK85" s="31"/>
      <c r="AL85" s="80">
        <f t="shared" si="322"/>
        <v>0</v>
      </c>
      <c r="AM85" s="10">
        <f t="shared" si="322"/>
        <v>0</v>
      </c>
      <c r="AN85" s="10">
        <f t="shared" si="322"/>
        <v>0</v>
      </c>
      <c r="AO85" s="10">
        <f t="shared" si="322"/>
        <v>0</v>
      </c>
      <c r="AP85" s="10">
        <f t="shared" si="322"/>
        <v>0</v>
      </c>
      <c r="AQ85" s="2">
        <f>IF($Q85="C", (F85*$N85),0)</f>
        <v>0</v>
      </c>
      <c r="AR85" s="39"/>
    </row>
    <row r="86" spans="1:44" s="38" customFormat="1">
      <c r="A86" s="167" t="s">
        <v>143</v>
      </c>
      <c r="B86" s="40" t="s">
        <v>7</v>
      </c>
      <c r="C86">
        <v>20</v>
      </c>
      <c r="D86" s="40" t="s">
        <v>9</v>
      </c>
      <c r="E86" s="31">
        <v>8</v>
      </c>
      <c r="F86" s="128">
        <f t="shared" ref="F86" si="323">E86*C86</f>
        <v>160</v>
      </c>
      <c r="G86" s="139">
        <v>24</v>
      </c>
      <c r="H86" s="139">
        <v>4</v>
      </c>
      <c r="I86" s="139">
        <v>0</v>
      </c>
      <c r="J86" s="139">
        <v>8</v>
      </c>
      <c r="K86" s="140">
        <v>0</v>
      </c>
      <c r="L86" t="s">
        <v>8</v>
      </c>
      <c r="M86" s="31">
        <f t="shared" ref="M86" si="324">((Shop*G86)+(M_Tech*H86)+(CMM*I86)+(ENG*J86)+(DES*K86))*N86</f>
        <v>0</v>
      </c>
      <c r="N86" s="242">
        <v>0</v>
      </c>
      <c r="O86" s="41">
        <f t="shared" ref="O86" si="325">M86+(N86*F86)</f>
        <v>0</v>
      </c>
      <c r="P86" s="41"/>
      <c r="Q86" s="108" t="s">
        <v>48</v>
      </c>
      <c r="R86" s="179" t="s">
        <v>91</v>
      </c>
      <c r="S86" s="186" t="str">
        <f t="shared" ref="S86" si="326">CONCATENATE(Q86,R86,AA86)</f>
        <v>BPD2009</v>
      </c>
      <c r="T86" s="186" t="str">
        <f t="shared" si="320"/>
        <v>B5.2.22009</v>
      </c>
      <c r="U86" s="186" t="s">
        <v>323</v>
      </c>
      <c r="V86"/>
      <c r="W86"/>
      <c r="X86"/>
      <c r="Y86"/>
      <c r="Z86"/>
      <c r="AA86" s="85">
        <v>2009</v>
      </c>
      <c r="AB86" s="2">
        <f t="shared" si="321"/>
        <v>0</v>
      </c>
      <c r="AC86" s="2">
        <f t="shared" si="321"/>
        <v>0</v>
      </c>
      <c r="AD86" s="2">
        <f t="shared" si="321"/>
        <v>0</v>
      </c>
      <c r="AE86" s="2">
        <f t="shared" si="321"/>
        <v>0</v>
      </c>
      <c r="AF86" s="2">
        <f t="shared" si="321"/>
        <v>0</v>
      </c>
      <c r="AG86" s="3">
        <f>IF($Q86="B", (F86*$N86),0)</f>
        <v>0</v>
      </c>
      <c r="AH86" s="39"/>
      <c r="AI86" s="37"/>
      <c r="AJ86" s="37"/>
      <c r="AK86" s="31"/>
      <c r="AL86" s="80">
        <f t="shared" si="322"/>
        <v>0</v>
      </c>
      <c r="AM86" s="10">
        <f t="shared" si="322"/>
        <v>0</v>
      </c>
      <c r="AN86" s="10">
        <f t="shared" si="322"/>
        <v>0</v>
      </c>
      <c r="AO86" s="10">
        <f t="shared" si="322"/>
        <v>0</v>
      </c>
      <c r="AP86" s="10">
        <f t="shared" si="322"/>
        <v>0</v>
      </c>
      <c r="AQ86" s="2">
        <f>IF($Q86="C", (F86*$N86),0)</f>
        <v>0</v>
      </c>
      <c r="AR86" s="39"/>
    </row>
    <row r="87" spans="1:44" s="155" customFormat="1">
      <c r="A87" s="102" t="s">
        <v>298</v>
      </c>
      <c r="E87" s="156"/>
      <c r="F87" s="157"/>
      <c r="G87" s="158"/>
      <c r="H87" s="158"/>
      <c r="I87" s="158"/>
      <c r="J87" s="158"/>
      <c r="K87" s="159"/>
      <c r="L87" s="169" t="s">
        <v>78</v>
      </c>
      <c r="M87" s="170">
        <f>SUMIF(Q83:Q86,"B",M83:M86)</f>
        <v>5916</v>
      </c>
      <c r="N87" s="171" t="s">
        <v>78</v>
      </c>
      <c r="O87" s="170">
        <f>SUMIF(Q83:Q85,"B",O83:O85)</f>
        <v>6156</v>
      </c>
      <c r="P87" s="160"/>
      <c r="Q87" s="161"/>
      <c r="R87" s="181"/>
      <c r="S87" s="188"/>
      <c r="T87" s="188"/>
      <c r="U87" s="188"/>
      <c r="V87"/>
      <c r="W87"/>
      <c r="X87"/>
      <c r="Y87"/>
      <c r="Z87"/>
      <c r="AA87" s="162"/>
      <c r="AB87" s="163"/>
      <c r="AC87" s="163"/>
      <c r="AD87" s="163"/>
      <c r="AE87" s="163"/>
      <c r="AF87" s="163"/>
      <c r="AG87" s="164"/>
      <c r="AH87" s="165"/>
      <c r="AI87" s="163"/>
      <c r="AJ87" s="163"/>
      <c r="AK87" s="31"/>
      <c r="AL87" s="166"/>
      <c r="AM87" s="163"/>
      <c r="AN87" s="163"/>
      <c r="AO87" s="163"/>
      <c r="AP87" s="163"/>
      <c r="AQ87" s="163"/>
      <c r="AR87" s="165"/>
    </row>
    <row r="88" spans="1:44" s="38" customFormat="1">
      <c r="A88" s="167" t="s">
        <v>142</v>
      </c>
      <c r="B88" s="242" t="s">
        <v>7</v>
      </c>
      <c r="C88" s="242">
        <v>120</v>
      </c>
      <c r="D88" s="242" t="s">
        <v>40</v>
      </c>
      <c r="E88" s="245">
        <v>8</v>
      </c>
      <c r="F88" s="128">
        <f t="shared" ref="F88:F90" si="327">E88*C88</f>
        <v>960</v>
      </c>
      <c r="G88" s="243">
        <v>4</v>
      </c>
      <c r="H88" s="243">
        <v>8</v>
      </c>
      <c r="I88" s="139">
        <v>0</v>
      </c>
      <c r="J88" s="243">
        <v>0</v>
      </c>
      <c r="K88" s="140">
        <v>0</v>
      </c>
      <c r="L88" t="s">
        <v>8</v>
      </c>
      <c r="M88" s="31">
        <f t="shared" ref="M88:M90" si="328">((Shop*G88)+(M_Tech*H88)+(CMM*I88)+(ENG*J88)+(DES*K88))*N88</f>
        <v>1444</v>
      </c>
      <c r="N88">
        <v>1</v>
      </c>
      <c r="O88" s="41">
        <f t="shared" ref="O88:O90" si="329">M88+(N88*F88)</f>
        <v>2404</v>
      </c>
      <c r="P88" s="41"/>
      <c r="Q88" s="108" t="s">
        <v>48</v>
      </c>
      <c r="R88" s="179" t="s">
        <v>91</v>
      </c>
      <c r="S88" s="186" t="str">
        <f t="shared" ref="S88:S90" si="330">CONCATENATE(Q88,R88,AA88)</f>
        <v>BPD2009</v>
      </c>
      <c r="T88" s="186" t="str">
        <f t="shared" ref="T88:T90" si="331">CONCATENATE(Q88,U88,AA88)</f>
        <v>B5.2.22009</v>
      </c>
      <c r="U88" s="186" t="s">
        <v>323</v>
      </c>
      <c r="V88"/>
      <c r="W88"/>
      <c r="X88"/>
      <c r="Y88"/>
      <c r="Z88"/>
      <c r="AA88" s="85">
        <v>2009</v>
      </c>
      <c r="AB88" s="2">
        <f t="shared" ref="AB88:AF90" si="332">IF($Q88="B", (G88*$N88),0)</f>
        <v>4</v>
      </c>
      <c r="AC88" s="2">
        <f t="shared" si="332"/>
        <v>8</v>
      </c>
      <c r="AD88" s="2">
        <f t="shared" si="332"/>
        <v>0</v>
      </c>
      <c r="AE88" s="2">
        <f t="shared" si="332"/>
        <v>0</v>
      </c>
      <c r="AF88" s="2">
        <f t="shared" si="332"/>
        <v>0</v>
      </c>
      <c r="AG88" s="3">
        <f>IF($Q88="B", (F88*$N88),0)</f>
        <v>960</v>
      </c>
      <c r="AH88" s="39"/>
      <c r="AI88" s="37"/>
      <c r="AJ88" s="37"/>
      <c r="AK88" s="31"/>
      <c r="AL88" s="80">
        <f t="shared" ref="AL88:AP90" si="333">IF($Q88="C", (G88*$N88),0)</f>
        <v>0</v>
      </c>
      <c r="AM88" s="10">
        <f t="shared" si="333"/>
        <v>0</v>
      </c>
      <c r="AN88" s="10">
        <f t="shared" si="333"/>
        <v>0</v>
      </c>
      <c r="AO88" s="10">
        <f t="shared" si="333"/>
        <v>0</v>
      </c>
      <c r="AP88" s="10">
        <f t="shared" si="333"/>
        <v>0</v>
      </c>
      <c r="AQ88" s="2">
        <f>IF($Q88="C", (F88*$N88),0)</f>
        <v>0</v>
      </c>
      <c r="AR88" s="39"/>
    </row>
    <row r="89" spans="1:44" s="38" customFormat="1">
      <c r="A89" s="167" t="s">
        <v>148</v>
      </c>
      <c r="B89" s="40" t="s">
        <v>34</v>
      </c>
      <c r="C89">
        <v>0</v>
      </c>
      <c r="D89" s="40" t="s">
        <v>9</v>
      </c>
      <c r="E89" s="31">
        <v>0</v>
      </c>
      <c r="F89" s="128">
        <f t="shared" si="327"/>
        <v>0</v>
      </c>
      <c r="G89" s="139">
        <v>24</v>
      </c>
      <c r="H89" s="139">
        <v>4</v>
      </c>
      <c r="I89" s="139">
        <v>8</v>
      </c>
      <c r="J89" s="139">
        <v>24</v>
      </c>
      <c r="K89" s="140">
        <v>0</v>
      </c>
      <c r="L89" t="s">
        <v>8</v>
      </c>
      <c r="M89" s="31">
        <f t="shared" si="328"/>
        <v>0</v>
      </c>
      <c r="N89" s="242">
        <v>0</v>
      </c>
      <c r="O89" s="41">
        <f t="shared" si="329"/>
        <v>0</v>
      </c>
      <c r="P89" s="41"/>
      <c r="Q89" s="108" t="s">
        <v>48</v>
      </c>
      <c r="R89" s="179" t="s">
        <v>91</v>
      </c>
      <c r="S89" s="186" t="str">
        <f t="shared" si="330"/>
        <v>BPD2009</v>
      </c>
      <c r="T89" s="186" t="str">
        <f t="shared" si="331"/>
        <v>B5.2.22009</v>
      </c>
      <c r="U89" s="186" t="s">
        <v>323</v>
      </c>
      <c r="V89"/>
      <c r="W89"/>
      <c r="X89"/>
      <c r="Y89"/>
      <c r="Z89"/>
      <c r="AA89" s="85">
        <v>2009</v>
      </c>
      <c r="AB89" s="2">
        <f t="shared" si="332"/>
        <v>0</v>
      </c>
      <c r="AC89" s="2">
        <f t="shared" si="332"/>
        <v>0</v>
      </c>
      <c r="AD89" s="2">
        <f t="shared" si="332"/>
        <v>0</v>
      </c>
      <c r="AE89" s="2">
        <f t="shared" si="332"/>
        <v>0</v>
      </c>
      <c r="AF89" s="2">
        <f t="shared" si="332"/>
        <v>0</v>
      </c>
      <c r="AG89" s="3">
        <f>IF($Q89="B", (F89*$N89),0)</f>
        <v>0</v>
      </c>
      <c r="AH89" s="39"/>
      <c r="AI89" s="37"/>
      <c r="AJ89" s="37"/>
      <c r="AK89" s="31"/>
      <c r="AL89" s="80">
        <f t="shared" si="333"/>
        <v>0</v>
      </c>
      <c r="AM89" s="10">
        <f t="shared" si="333"/>
        <v>0</v>
      </c>
      <c r="AN89" s="10">
        <f t="shared" si="333"/>
        <v>0</v>
      </c>
      <c r="AO89" s="10">
        <f t="shared" si="333"/>
        <v>0</v>
      </c>
      <c r="AP89" s="10">
        <f t="shared" si="333"/>
        <v>0</v>
      </c>
      <c r="AQ89" s="2">
        <f>IF($Q89="C", (F89*$N89),0)</f>
        <v>0</v>
      </c>
      <c r="AR89" s="39"/>
    </row>
    <row r="90" spans="1:44" s="38" customFormat="1">
      <c r="A90" s="167" t="s">
        <v>152</v>
      </c>
      <c r="B90" s="40" t="s">
        <v>34</v>
      </c>
      <c r="C90">
        <v>0</v>
      </c>
      <c r="D90" s="40" t="s">
        <v>9</v>
      </c>
      <c r="E90" s="31">
        <v>0</v>
      </c>
      <c r="F90" s="128">
        <f t="shared" si="327"/>
        <v>0</v>
      </c>
      <c r="G90" s="139">
        <v>24</v>
      </c>
      <c r="H90" s="139">
        <v>4</v>
      </c>
      <c r="I90" s="139">
        <v>8</v>
      </c>
      <c r="J90" s="139">
        <v>24</v>
      </c>
      <c r="K90" s="140">
        <v>0</v>
      </c>
      <c r="L90" t="s">
        <v>8</v>
      </c>
      <c r="M90" s="31">
        <f t="shared" si="328"/>
        <v>0</v>
      </c>
      <c r="N90" s="242">
        <v>0</v>
      </c>
      <c r="O90" s="41">
        <f t="shared" si="329"/>
        <v>0</v>
      </c>
      <c r="P90" s="41"/>
      <c r="Q90" s="108" t="s">
        <v>49</v>
      </c>
      <c r="R90" s="179" t="s">
        <v>91</v>
      </c>
      <c r="S90" s="186" t="str">
        <f t="shared" si="330"/>
        <v>CPD2009</v>
      </c>
      <c r="T90" s="186" t="str">
        <f t="shared" si="331"/>
        <v>C5.2.22009</v>
      </c>
      <c r="U90" s="186" t="s">
        <v>323</v>
      </c>
      <c r="V90"/>
      <c r="W90"/>
      <c r="X90"/>
      <c r="Y90"/>
      <c r="Z90"/>
      <c r="AA90" s="85">
        <v>2009</v>
      </c>
      <c r="AB90" s="2">
        <f t="shared" si="332"/>
        <v>0</v>
      </c>
      <c r="AC90" s="2">
        <f t="shared" si="332"/>
        <v>0</v>
      </c>
      <c r="AD90" s="2">
        <f t="shared" si="332"/>
        <v>0</v>
      </c>
      <c r="AE90" s="2">
        <f t="shared" si="332"/>
        <v>0</v>
      </c>
      <c r="AF90" s="2">
        <f t="shared" si="332"/>
        <v>0</v>
      </c>
      <c r="AG90" s="3">
        <f>IF($Q90="B", (F90*$N90),0)</f>
        <v>0</v>
      </c>
      <c r="AH90" s="39"/>
      <c r="AI90" s="37"/>
      <c r="AJ90" s="37"/>
      <c r="AK90" s="31"/>
      <c r="AL90" s="80">
        <f t="shared" si="333"/>
        <v>0</v>
      </c>
      <c r="AM90" s="10">
        <f t="shared" si="333"/>
        <v>0</v>
      </c>
      <c r="AN90" s="10">
        <f t="shared" si="333"/>
        <v>0</v>
      </c>
      <c r="AO90" s="10">
        <f t="shared" si="333"/>
        <v>0</v>
      </c>
      <c r="AP90" s="10">
        <f t="shared" si="333"/>
        <v>0</v>
      </c>
      <c r="AQ90" s="2">
        <f>IF($Q90="C", (F90*$N90),0)</f>
        <v>0</v>
      </c>
      <c r="AR90" s="39"/>
    </row>
    <row r="91" spans="1:44" s="242" customFormat="1">
      <c r="A91" s="258" t="s">
        <v>309</v>
      </c>
      <c r="E91" s="259"/>
      <c r="F91" s="260"/>
      <c r="G91" s="261"/>
      <c r="H91" s="261"/>
      <c r="I91" s="261"/>
      <c r="J91" s="261"/>
      <c r="K91" s="262"/>
      <c r="L91" s="169" t="s">
        <v>78</v>
      </c>
      <c r="M91" s="170">
        <f>SUMIF(Q88:Q90,"B",M88:M90)</f>
        <v>1444</v>
      </c>
      <c r="N91" s="171" t="s">
        <v>78</v>
      </c>
      <c r="O91" s="248"/>
      <c r="P91" s="248"/>
      <c r="Q91" s="249"/>
      <c r="R91" s="250"/>
      <c r="S91" s="251"/>
      <c r="T91" s="251"/>
      <c r="U91" s="251"/>
      <c r="AA91" s="252"/>
      <c r="AB91" s="257"/>
      <c r="AC91" s="257"/>
      <c r="AD91" s="266"/>
      <c r="AE91" s="257"/>
      <c r="AF91" s="257"/>
      <c r="AG91" s="254"/>
      <c r="AH91" s="255"/>
      <c r="AI91" s="253"/>
      <c r="AJ91" s="253"/>
      <c r="AK91" s="245"/>
      <c r="AL91" s="256"/>
      <c r="AM91" s="257"/>
      <c r="AN91" s="257"/>
      <c r="AO91" s="257"/>
      <c r="AP91" s="257"/>
      <c r="AQ91" s="253"/>
      <c r="AR91" s="255"/>
    </row>
    <row r="92" spans="1:44" s="242" customFormat="1">
      <c r="A92" s="244" t="s">
        <v>306</v>
      </c>
      <c r="B92" s="242" t="s">
        <v>123</v>
      </c>
      <c r="C92" s="242">
        <v>0.05</v>
      </c>
      <c r="D92" s="242" t="s">
        <v>40</v>
      </c>
      <c r="E92" s="245">
        <v>600</v>
      </c>
      <c r="F92" s="246">
        <f>E92*C92</f>
        <v>30</v>
      </c>
      <c r="G92" s="243">
        <v>2</v>
      </c>
      <c r="H92" s="243">
        <v>0</v>
      </c>
      <c r="I92" s="243">
        <v>0</v>
      </c>
      <c r="J92" s="243">
        <v>0</v>
      </c>
      <c r="K92" s="247">
        <v>0</v>
      </c>
      <c r="L92" s="242" t="s">
        <v>8</v>
      </c>
      <c r="M92" s="245">
        <f>((Shop*G92)+(M_Tech*H92)+(CMM*I92)+(ENG*J92)+(DES*K92))*N92</f>
        <v>6858</v>
      </c>
      <c r="N92" s="242">
        <v>27</v>
      </c>
      <c r="O92" s="248">
        <f>M92+(N92*F92)</f>
        <v>7668</v>
      </c>
      <c r="P92" s="248"/>
      <c r="Q92" s="249" t="s">
        <v>48</v>
      </c>
      <c r="R92" s="250" t="s">
        <v>91</v>
      </c>
      <c r="S92" s="251" t="str">
        <f t="shared" ref="S92:S93" si="334">CONCATENATE(Q92,R92,AA92)</f>
        <v>BPDHytec</v>
      </c>
      <c r="T92" s="186" t="str">
        <f t="shared" ref="T92:T94" si="335">CONCATENATE(Q92,U92,AA92)</f>
        <v>B5.2.3Hytec</v>
      </c>
      <c r="U92" s="186" t="s">
        <v>324</v>
      </c>
      <c r="AA92" s="252" t="s">
        <v>56</v>
      </c>
      <c r="AB92" s="253">
        <f t="shared" ref="AB92:AB94" si="336">IF($Q92="B", (G92*$N92),0)</f>
        <v>54</v>
      </c>
      <c r="AC92" s="253">
        <f t="shared" ref="AC92:AC94" si="337">IF($Q92="B", (H92*$N92),0)</f>
        <v>0</v>
      </c>
      <c r="AD92" s="253">
        <f t="shared" ref="AD92:AD94" si="338">IF($Q92="B", (I92*$N92),0)</f>
        <v>0</v>
      </c>
      <c r="AE92" s="253">
        <f t="shared" ref="AE92:AE94" si="339">IF($Q92="B", (J92*$N92),0)</f>
        <v>0</v>
      </c>
      <c r="AF92" s="253">
        <f t="shared" ref="AF92:AF94" si="340">IF($Q92="B", (K92*$N92),0)</f>
        <v>0</v>
      </c>
      <c r="AG92" s="254">
        <f>IF($Q92="B", (F92*$N92),0)</f>
        <v>810</v>
      </c>
      <c r="AH92" s="255"/>
      <c r="AI92" s="253"/>
      <c r="AJ92" s="253"/>
      <c r="AK92" s="245"/>
      <c r="AL92" s="256">
        <f t="shared" ref="AL92:AL94" si="341">IF($Q92="C", (G92*$N92),0)</f>
        <v>0</v>
      </c>
      <c r="AM92" s="257">
        <f t="shared" ref="AM92:AM94" si="342">IF($Q92="C", (H92*$N92),0)</f>
        <v>0</v>
      </c>
      <c r="AN92" s="257">
        <f t="shared" ref="AN92:AN94" si="343">IF($Q92="C", (I92*$N92),0)</f>
        <v>0</v>
      </c>
      <c r="AO92" s="257">
        <f t="shared" ref="AO92:AO94" si="344">IF($Q92="C", (J92*$N92),0)</f>
        <v>0</v>
      </c>
      <c r="AP92" s="257">
        <f t="shared" ref="AP92:AP94" si="345">IF($Q92="C", (K92*$N92),0)</f>
        <v>0</v>
      </c>
      <c r="AQ92" s="253">
        <f>IF($Q92="C", (F92*$N92),0)</f>
        <v>0</v>
      </c>
      <c r="AR92" s="255"/>
    </row>
    <row r="93" spans="1:44" s="242" customFormat="1">
      <c r="A93" s="244" t="s">
        <v>307</v>
      </c>
      <c r="B93" s="242" t="s">
        <v>34</v>
      </c>
      <c r="C93" s="242">
        <v>0</v>
      </c>
      <c r="D93" s="242" t="s">
        <v>9</v>
      </c>
      <c r="E93" s="245">
        <v>0</v>
      </c>
      <c r="F93" s="246">
        <f>E93*C93</f>
        <v>0</v>
      </c>
      <c r="G93" s="243">
        <v>0</v>
      </c>
      <c r="H93" s="243">
        <v>0</v>
      </c>
      <c r="I93" s="243">
        <v>0</v>
      </c>
      <c r="J93" s="243">
        <v>8</v>
      </c>
      <c r="K93" s="247">
        <v>0</v>
      </c>
      <c r="L93" s="242" t="s">
        <v>8</v>
      </c>
      <c r="M93" s="245">
        <f>((Shop*G93)+(M_Tech*H93)+(CMM*I93)+(ENG*J93)+(DES*K93))*N93</f>
        <v>1200</v>
      </c>
      <c r="N93" s="242">
        <v>1</v>
      </c>
      <c r="O93" s="248">
        <f>M93+(N93*F93)</f>
        <v>1200</v>
      </c>
      <c r="P93" s="248"/>
      <c r="Q93" s="249" t="s">
        <v>48</v>
      </c>
      <c r="R93" s="250" t="s">
        <v>91</v>
      </c>
      <c r="S93" s="251" t="str">
        <f t="shared" si="334"/>
        <v>BPD2009</v>
      </c>
      <c r="T93" s="186" t="str">
        <f t="shared" si="335"/>
        <v>B5.2.32009</v>
      </c>
      <c r="U93" s="186" t="s">
        <v>324</v>
      </c>
      <c r="AA93" s="252">
        <v>2009</v>
      </c>
      <c r="AB93" s="253">
        <f t="shared" si="336"/>
        <v>0</v>
      </c>
      <c r="AC93" s="253">
        <f t="shared" si="337"/>
        <v>0</v>
      </c>
      <c r="AD93" s="253">
        <f t="shared" si="338"/>
        <v>0</v>
      </c>
      <c r="AE93" s="253">
        <f t="shared" si="339"/>
        <v>8</v>
      </c>
      <c r="AF93" s="253">
        <f t="shared" si="340"/>
        <v>0</v>
      </c>
      <c r="AG93" s="254">
        <f>IF($Q93="B", (F93*$N93),0)</f>
        <v>0</v>
      </c>
      <c r="AH93" s="255"/>
      <c r="AI93" s="253"/>
      <c r="AJ93" s="253"/>
      <c r="AK93" s="245"/>
      <c r="AL93" s="256">
        <f t="shared" si="341"/>
        <v>0</v>
      </c>
      <c r="AM93" s="257">
        <f t="shared" si="342"/>
        <v>0</v>
      </c>
      <c r="AN93" s="257">
        <f t="shared" si="343"/>
        <v>0</v>
      </c>
      <c r="AO93" s="257">
        <f t="shared" si="344"/>
        <v>0</v>
      </c>
      <c r="AP93" s="257">
        <f t="shared" si="345"/>
        <v>0</v>
      </c>
      <c r="AQ93" s="253">
        <f>IF($Q93="C", (F93*$N93),0)</f>
        <v>0</v>
      </c>
      <c r="AR93" s="255"/>
    </row>
    <row r="94" spans="1:44" s="242" customFormat="1">
      <c r="A94" s="244" t="s">
        <v>308</v>
      </c>
      <c r="B94" s="242" t="s">
        <v>123</v>
      </c>
      <c r="C94" s="242">
        <v>0.03</v>
      </c>
      <c r="D94" s="242" t="s">
        <v>40</v>
      </c>
      <c r="E94" s="245">
        <v>600</v>
      </c>
      <c r="F94" s="246">
        <f>E94*C94</f>
        <v>18</v>
      </c>
      <c r="G94" s="243">
        <v>2</v>
      </c>
      <c r="H94" s="243">
        <v>0</v>
      </c>
      <c r="I94" s="243">
        <v>0</v>
      </c>
      <c r="J94" s="243">
        <v>0</v>
      </c>
      <c r="K94" s="247">
        <v>0</v>
      </c>
      <c r="L94" s="242" t="s">
        <v>8</v>
      </c>
      <c r="M94" s="245">
        <f>((Shop*G94)+(M_Tech*H94)+(CMM*I94)+(ENG*J94)+(DES*K94))*N94</f>
        <v>1524</v>
      </c>
      <c r="N94" s="242">
        <v>6</v>
      </c>
      <c r="O94" s="248">
        <f>M94+(N94*F94)</f>
        <v>1632</v>
      </c>
      <c r="P94" s="248"/>
      <c r="Q94" s="249" t="s">
        <v>49</v>
      </c>
      <c r="R94" s="250" t="s">
        <v>91</v>
      </c>
      <c r="S94" s="251" t="str">
        <f>CONCATENATE(Q94,R94,AA94)</f>
        <v>CPDHytec</v>
      </c>
      <c r="T94" s="186" t="str">
        <f t="shared" si="335"/>
        <v>C5.2.3Hytec</v>
      </c>
      <c r="U94" s="186" t="s">
        <v>324</v>
      </c>
      <c r="AA94" s="252" t="s">
        <v>56</v>
      </c>
      <c r="AB94" s="253">
        <f t="shared" si="336"/>
        <v>0</v>
      </c>
      <c r="AC94" s="253">
        <f t="shared" si="337"/>
        <v>0</v>
      </c>
      <c r="AD94" s="253">
        <f t="shared" si="338"/>
        <v>0</v>
      </c>
      <c r="AE94" s="253">
        <f t="shared" si="339"/>
        <v>0</v>
      </c>
      <c r="AF94" s="253">
        <f t="shared" si="340"/>
        <v>0</v>
      </c>
      <c r="AG94" s="254">
        <f>IF($Q94="B", (F94*$N94),0)</f>
        <v>0</v>
      </c>
      <c r="AH94" s="255"/>
      <c r="AI94" s="253"/>
      <c r="AJ94" s="253"/>
      <c r="AK94" s="245"/>
      <c r="AL94" s="256">
        <f t="shared" si="341"/>
        <v>12</v>
      </c>
      <c r="AM94" s="257">
        <f t="shared" si="342"/>
        <v>0</v>
      </c>
      <c r="AN94" s="257">
        <f t="shared" si="343"/>
        <v>0</v>
      </c>
      <c r="AO94" s="257">
        <f t="shared" si="344"/>
        <v>0</v>
      </c>
      <c r="AP94" s="257">
        <f t="shared" si="345"/>
        <v>0</v>
      </c>
      <c r="AQ94" s="253">
        <f>IF($Q94="C", (F94*$N94),0)</f>
        <v>108</v>
      </c>
      <c r="AR94" s="255"/>
    </row>
    <row r="95" spans="1:44" s="106" customFormat="1">
      <c r="A95" s="103" t="s">
        <v>150</v>
      </c>
      <c r="E95" s="120"/>
      <c r="F95" s="129"/>
      <c r="G95" s="143"/>
      <c r="H95" s="143"/>
      <c r="I95" s="143"/>
      <c r="J95" s="143"/>
      <c r="K95" s="144"/>
      <c r="L95" s="263" t="s">
        <v>78</v>
      </c>
      <c r="M95" s="264">
        <f>SUMIF(Q92:Q94,"B",M92:M94)</f>
        <v>8058</v>
      </c>
      <c r="N95" s="265" t="s">
        <v>78</v>
      </c>
      <c r="O95" s="112"/>
      <c r="P95" s="112"/>
      <c r="Q95" s="108"/>
      <c r="R95" s="179"/>
      <c r="S95" s="186"/>
      <c r="T95" s="186"/>
      <c r="U95" s="186"/>
      <c r="V95"/>
      <c r="W95"/>
      <c r="X95"/>
      <c r="Y95"/>
      <c r="Z95"/>
      <c r="AA95" s="113"/>
      <c r="AB95" s="114"/>
      <c r="AC95" s="114"/>
      <c r="AD95" s="115"/>
      <c r="AE95" s="114"/>
      <c r="AF95" s="114"/>
      <c r="AG95" s="48"/>
      <c r="AH95" s="116"/>
      <c r="AI95" s="101"/>
      <c r="AJ95" s="101"/>
      <c r="AK95" s="31"/>
      <c r="AL95" s="117"/>
      <c r="AM95" s="114"/>
      <c r="AN95" s="114"/>
      <c r="AO95" s="114"/>
      <c r="AP95" s="114"/>
      <c r="AQ95" s="101"/>
      <c r="AR95" s="116"/>
    </row>
    <row r="96" spans="1:44">
      <c r="A96" s="102" t="s">
        <v>156</v>
      </c>
      <c r="B96" s="40" t="s">
        <v>34</v>
      </c>
      <c r="C96">
        <v>0</v>
      </c>
      <c r="D96" s="40" t="s">
        <v>9</v>
      </c>
      <c r="E96" s="31">
        <v>0</v>
      </c>
      <c r="F96" s="128">
        <f t="shared" ref="F96" si="346">E96*C96</f>
        <v>0</v>
      </c>
      <c r="G96" s="139">
        <v>0</v>
      </c>
      <c r="H96" s="139">
        <v>8</v>
      </c>
      <c r="I96" s="139">
        <v>0</v>
      </c>
      <c r="J96" s="139">
        <v>8</v>
      </c>
      <c r="K96" s="140">
        <v>0</v>
      </c>
      <c r="L96" t="s">
        <v>8</v>
      </c>
      <c r="M96" s="31">
        <f t="shared" ref="M96" si="347">((Shop*G96)+(M_Tech*H96)+(CMM*I96)+(ENG*J96)+(DES*K96))*N96</f>
        <v>2136</v>
      </c>
      <c r="N96">
        <v>1</v>
      </c>
      <c r="O96" s="41">
        <f t="shared" ref="O96" si="348">M96+(N96*F96)</f>
        <v>2136</v>
      </c>
      <c r="P96" s="41"/>
      <c r="Q96" s="108" t="s">
        <v>48</v>
      </c>
      <c r="R96" s="179" t="s">
        <v>91</v>
      </c>
      <c r="S96" s="186" t="str">
        <f t="shared" ref="S96" si="349">CONCATENATE(Q96,R96,AA96)</f>
        <v>BPD2009</v>
      </c>
      <c r="T96" s="186" t="str">
        <f t="shared" ref="T96:T101" si="350">CONCATENATE(Q96,U96,AA96)</f>
        <v>B5.2.32009</v>
      </c>
      <c r="U96" s="186" t="s">
        <v>324</v>
      </c>
      <c r="V96"/>
      <c r="W96"/>
      <c r="X96"/>
      <c r="Y96"/>
      <c r="Z96"/>
      <c r="AA96" s="85">
        <v>2009</v>
      </c>
      <c r="AB96" s="2">
        <f t="shared" ref="AB96" si="351">IF($Q96="B", (G96*$N96),0)</f>
        <v>0</v>
      </c>
      <c r="AC96" s="2">
        <f t="shared" ref="AC96" si="352">IF($Q96="B", (H96*$N96),0)</f>
        <v>8</v>
      </c>
      <c r="AD96" s="2">
        <f t="shared" ref="AD96" si="353">IF($Q96="B", (I96*$N96),0)</f>
        <v>0</v>
      </c>
      <c r="AE96" s="2">
        <f t="shared" ref="AE96" si="354">IF($Q96="B", (J96*$N96),0)</f>
        <v>8</v>
      </c>
      <c r="AF96" s="2">
        <f t="shared" ref="AF96" si="355">IF($Q96="B", (K96*$N96),0)</f>
        <v>0</v>
      </c>
      <c r="AG96" s="3">
        <f t="shared" ref="AG96" si="356">IF($Q96="B", (F96*$N96),0)</f>
        <v>0</v>
      </c>
      <c r="AH96" s="73"/>
      <c r="AI96" s="2"/>
      <c r="AJ96" s="2"/>
      <c r="AL96" s="80">
        <f t="shared" ref="AL96" si="357">IF($Q96="C", (G96*$N96),0)</f>
        <v>0</v>
      </c>
      <c r="AM96" s="10">
        <f t="shared" ref="AM96" si="358">IF($Q96="C", (H96*$N96),0)</f>
        <v>0</v>
      </c>
      <c r="AN96" s="10">
        <f t="shared" ref="AN96" si="359">IF($Q96="C", (I96*$N96),0)</f>
        <v>0</v>
      </c>
      <c r="AO96" s="10">
        <f t="shared" ref="AO96" si="360">IF($Q96="C", (J96*$N96),0)</f>
        <v>0</v>
      </c>
      <c r="AP96" s="10">
        <f t="shared" ref="AP96" si="361">IF($Q96="C", (K96*$N96),0)</f>
        <v>0</v>
      </c>
      <c r="AQ96" s="2">
        <f t="shared" ref="AQ96" si="362">IF($Q96="C", (F96*$N96),0)</f>
        <v>0</v>
      </c>
      <c r="AR96" s="73"/>
    </row>
    <row r="97" spans="1:44">
      <c r="A97" s="102" t="s">
        <v>310</v>
      </c>
      <c r="B97" s="40" t="s">
        <v>65</v>
      </c>
      <c r="C97">
        <v>6</v>
      </c>
      <c r="D97" s="40" t="s">
        <v>66</v>
      </c>
      <c r="E97" s="31">
        <v>55</v>
      </c>
      <c r="F97" s="128">
        <f t="shared" ref="F97:F101" si="363">E97*C97</f>
        <v>330</v>
      </c>
      <c r="G97" s="139">
        <v>0</v>
      </c>
      <c r="H97" s="243">
        <v>32</v>
      </c>
      <c r="I97" s="139">
        <v>0</v>
      </c>
      <c r="J97" s="139">
        <v>40</v>
      </c>
      <c r="K97" s="140">
        <v>0</v>
      </c>
      <c r="L97" t="s">
        <v>8</v>
      </c>
      <c r="M97" s="31">
        <f t="shared" ref="M97:M101" si="364">((Shop*G97)+(M_Tech*H97)+(CMM*I97)+(ENG*J97)+(DES*K97))*N97</f>
        <v>9744</v>
      </c>
      <c r="N97">
        <v>1</v>
      </c>
      <c r="O97" s="41">
        <f t="shared" ref="O97:O101" si="365">M97+(N97*F97)</f>
        <v>10074</v>
      </c>
      <c r="P97" s="41"/>
      <c r="Q97" s="108" t="s">
        <v>48</v>
      </c>
      <c r="R97" s="179" t="s">
        <v>91</v>
      </c>
      <c r="S97" s="186" t="str">
        <f t="shared" ref="S97:S101" si="366">CONCATENATE(Q97,R97,AA97)</f>
        <v>BPD2009</v>
      </c>
      <c r="T97" s="186" t="str">
        <f t="shared" si="350"/>
        <v>B5.2.32009</v>
      </c>
      <c r="U97" s="186" t="s">
        <v>324</v>
      </c>
      <c r="V97"/>
      <c r="W97"/>
      <c r="X97"/>
      <c r="Y97"/>
      <c r="Z97"/>
      <c r="AA97" s="85">
        <v>2009</v>
      </c>
      <c r="AB97" s="2">
        <f t="shared" ref="AB97:AB101" si="367">IF($Q97="B", (G97*$N97),0)</f>
        <v>0</v>
      </c>
      <c r="AC97" s="2">
        <f t="shared" ref="AC97:AC101" si="368">IF($Q97="B", (H97*$N97),0)</f>
        <v>32</v>
      </c>
      <c r="AD97" s="2">
        <f t="shared" ref="AD97:AD101" si="369">IF($Q97="B", (I97*$N97),0)</f>
        <v>0</v>
      </c>
      <c r="AE97" s="2">
        <f t="shared" ref="AE97:AE101" si="370">IF($Q97="B", (J97*$N97),0)</f>
        <v>40</v>
      </c>
      <c r="AF97" s="2">
        <f t="shared" ref="AF97:AF101" si="371">IF($Q97="B", (K97*$N97),0)</f>
        <v>0</v>
      </c>
      <c r="AG97" s="3">
        <f t="shared" ref="AG97:AG101" si="372">IF($Q97="B", (F97*$N97),0)</f>
        <v>330</v>
      </c>
      <c r="AH97" s="73"/>
      <c r="AI97" s="2"/>
      <c r="AJ97" s="2"/>
      <c r="AL97" s="80">
        <f t="shared" ref="AL97:AL98" si="373">IF($Q97="C", (G97*$N97),0)</f>
        <v>0</v>
      </c>
      <c r="AM97" s="10">
        <f t="shared" ref="AM97:AM98" si="374">IF($Q97="C", (H97*$N97),0)</f>
        <v>0</v>
      </c>
      <c r="AN97" s="10">
        <f t="shared" ref="AN97:AN98" si="375">IF($Q97="C", (I97*$N97),0)</f>
        <v>0</v>
      </c>
      <c r="AO97" s="10">
        <f t="shared" ref="AO97:AO98" si="376">IF($Q97="C", (J97*$N97),0)</f>
        <v>0</v>
      </c>
      <c r="AP97" s="10">
        <f t="shared" ref="AP97:AP98" si="377">IF($Q97="C", (K97*$N97),0)</f>
        <v>0</v>
      </c>
      <c r="AQ97" s="2">
        <f t="shared" ref="AQ97:AQ98" si="378">IF($Q97="C", (F97*$N97),0)</f>
        <v>0</v>
      </c>
      <c r="AR97" s="73"/>
    </row>
    <row r="98" spans="1:44">
      <c r="A98" s="102" t="s">
        <v>311</v>
      </c>
      <c r="B98" s="40" t="s">
        <v>65</v>
      </c>
      <c r="C98">
        <v>6</v>
      </c>
      <c r="D98" s="40" t="s">
        <v>66</v>
      </c>
      <c r="E98" s="31">
        <v>55</v>
      </c>
      <c r="F98" s="128">
        <f t="shared" ref="F98" si="379">E98*C98</f>
        <v>330</v>
      </c>
      <c r="G98" s="139">
        <v>0</v>
      </c>
      <c r="H98" s="243">
        <v>32</v>
      </c>
      <c r="I98" s="139">
        <v>0</v>
      </c>
      <c r="J98" s="139">
        <v>8</v>
      </c>
      <c r="K98" s="140">
        <v>0</v>
      </c>
      <c r="L98" t="s">
        <v>8</v>
      </c>
      <c r="M98" s="31">
        <f t="shared" ref="M98" si="380">((Shop*G98)+(M_Tech*H98)+(CMM*I98)+(ENG*J98)+(DES*K98))*N98</f>
        <v>9888</v>
      </c>
      <c r="N98">
        <v>2</v>
      </c>
      <c r="O98" s="41">
        <f>M98+(N98*F98)</f>
        <v>10548</v>
      </c>
      <c r="P98" s="41"/>
      <c r="Q98" s="108" t="s">
        <v>48</v>
      </c>
      <c r="R98" s="179" t="s">
        <v>91</v>
      </c>
      <c r="S98" s="186" t="str">
        <f t="shared" ref="S98" si="381">CONCATENATE(Q98,R98,AA98)</f>
        <v>BPD2009</v>
      </c>
      <c r="T98" s="186" t="str">
        <f t="shared" si="350"/>
        <v>B5.2.32009</v>
      </c>
      <c r="U98" s="186" t="s">
        <v>324</v>
      </c>
      <c r="V98"/>
      <c r="W98"/>
      <c r="X98"/>
      <c r="Y98"/>
      <c r="Z98"/>
      <c r="AA98" s="85">
        <v>2009</v>
      </c>
      <c r="AB98" s="2">
        <f t="shared" ref="AB98" si="382">IF($Q98="B", (G98*$N98),0)</f>
        <v>0</v>
      </c>
      <c r="AC98" s="2">
        <f t="shared" ref="AC98" si="383">IF($Q98="B", (H98*$N98),0)</f>
        <v>64</v>
      </c>
      <c r="AD98" s="2">
        <f t="shared" ref="AD98" si="384">IF($Q98="B", (I98*$N98),0)</f>
        <v>0</v>
      </c>
      <c r="AE98" s="2">
        <f t="shared" ref="AE98" si="385">IF($Q98="B", (J98*$N98),0)</f>
        <v>16</v>
      </c>
      <c r="AF98" s="2">
        <f t="shared" ref="AF98" si="386">IF($Q98="B", (K98*$N98),0)</f>
        <v>0</v>
      </c>
      <c r="AG98" s="3">
        <f t="shared" ref="AG98" si="387">IF($Q98="B", (F98*$N98),0)</f>
        <v>660</v>
      </c>
      <c r="AH98" s="73"/>
      <c r="AI98" s="2"/>
      <c r="AJ98" s="2"/>
      <c r="AL98" s="80">
        <f t="shared" si="373"/>
        <v>0</v>
      </c>
      <c r="AM98" s="10">
        <f t="shared" si="374"/>
        <v>0</v>
      </c>
      <c r="AN98" s="10">
        <f t="shared" si="375"/>
        <v>0</v>
      </c>
      <c r="AO98" s="10">
        <f t="shared" si="376"/>
        <v>0</v>
      </c>
      <c r="AP98" s="10">
        <f t="shared" si="377"/>
        <v>0</v>
      </c>
      <c r="AQ98" s="2">
        <f t="shared" si="378"/>
        <v>0</v>
      </c>
      <c r="AR98" s="73"/>
    </row>
    <row r="99" spans="1:44">
      <c r="A99" s="102" t="s">
        <v>312</v>
      </c>
      <c r="B99" s="40" t="s">
        <v>65</v>
      </c>
      <c r="C99">
        <v>12</v>
      </c>
      <c r="D99" s="40" t="s">
        <v>66</v>
      </c>
      <c r="E99" s="31">
        <v>55</v>
      </c>
      <c r="F99" s="128">
        <f t="shared" si="363"/>
        <v>660</v>
      </c>
      <c r="G99" s="139">
        <v>0</v>
      </c>
      <c r="H99" s="243">
        <v>32</v>
      </c>
      <c r="I99" s="139">
        <v>0</v>
      </c>
      <c r="J99" s="139">
        <v>8</v>
      </c>
      <c r="K99" s="140">
        <v>0</v>
      </c>
      <c r="L99" t="s">
        <v>8</v>
      </c>
      <c r="M99" s="31">
        <f t="shared" si="364"/>
        <v>4944</v>
      </c>
      <c r="N99">
        <v>1</v>
      </c>
      <c r="O99" s="41">
        <f>M99+(N99*F99)</f>
        <v>5604</v>
      </c>
      <c r="P99" s="41"/>
      <c r="Q99" s="108" t="s">
        <v>49</v>
      </c>
      <c r="R99" s="179" t="s">
        <v>91</v>
      </c>
      <c r="S99" s="186" t="str">
        <f t="shared" si="366"/>
        <v>CPD2009</v>
      </c>
      <c r="T99" s="186" t="str">
        <f t="shared" si="350"/>
        <v>C5.2.32009</v>
      </c>
      <c r="U99" s="186" t="s">
        <v>324</v>
      </c>
      <c r="V99"/>
      <c r="W99"/>
      <c r="X99"/>
      <c r="Y99"/>
      <c r="Z99"/>
      <c r="AA99" s="85">
        <v>2009</v>
      </c>
      <c r="AB99" s="2">
        <f t="shared" si="367"/>
        <v>0</v>
      </c>
      <c r="AC99" s="2">
        <f t="shared" si="368"/>
        <v>0</v>
      </c>
      <c r="AD99" s="2">
        <f t="shared" si="369"/>
        <v>0</v>
      </c>
      <c r="AE99" s="2">
        <f t="shared" si="370"/>
        <v>0</v>
      </c>
      <c r="AF99" s="2">
        <f t="shared" si="371"/>
        <v>0</v>
      </c>
      <c r="AG99" s="3">
        <f t="shared" si="372"/>
        <v>0</v>
      </c>
      <c r="AH99" s="73"/>
      <c r="AI99" s="2"/>
      <c r="AJ99" s="2"/>
      <c r="AL99" s="80">
        <f t="shared" ref="AL99:AL100" si="388">IF($Q99="C", (G99*$N99),0)</f>
        <v>0</v>
      </c>
      <c r="AM99" s="10">
        <f t="shared" ref="AM99:AM100" si="389">IF($Q99="C", (H99*$N99),0)</f>
        <v>32</v>
      </c>
      <c r="AN99" s="10">
        <f t="shared" ref="AN99:AN100" si="390">IF($Q99="C", (I99*$N99),0)</f>
        <v>0</v>
      </c>
      <c r="AO99" s="10">
        <f t="shared" ref="AO99:AO100" si="391">IF($Q99="C", (J99*$N99),0)</f>
        <v>8</v>
      </c>
      <c r="AP99" s="10">
        <f t="shared" ref="AP99:AP100" si="392">IF($Q99="C", (K99*$N99),0)</f>
        <v>0</v>
      </c>
      <c r="AQ99" s="2">
        <f t="shared" ref="AQ99:AQ100" si="393">IF($Q99="C", (F99*$N99),0)</f>
        <v>660</v>
      </c>
      <c r="AR99" s="73"/>
    </row>
    <row r="100" spans="1:44">
      <c r="A100" s="102" t="s">
        <v>313</v>
      </c>
      <c r="B100" s="40" t="s">
        <v>34</v>
      </c>
      <c r="C100">
        <v>0</v>
      </c>
      <c r="D100" s="40" t="s">
        <v>9</v>
      </c>
      <c r="E100" s="31">
        <v>0</v>
      </c>
      <c r="F100" s="128">
        <f t="shared" ref="F100" si="394">E100*C100</f>
        <v>0</v>
      </c>
      <c r="G100" s="139">
        <v>0</v>
      </c>
      <c r="H100" s="168">
        <v>8</v>
      </c>
      <c r="I100" s="139">
        <v>0</v>
      </c>
      <c r="J100" s="139">
        <v>4</v>
      </c>
      <c r="K100" s="140">
        <v>0</v>
      </c>
      <c r="L100" t="s">
        <v>8</v>
      </c>
      <c r="M100" s="31">
        <f t="shared" ref="M100" si="395">((Shop*G100)+(M_Tech*H100)+(CMM*I100)+(ENG*J100)+(DES*K100))*N100</f>
        <v>3072</v>
      </c>
      <c r="N100">
        <v>2</v>
      </c>
      <c r="O100" s="41">
        <f t="shared" ref="O100" si="396">M100+(N100*F100)</f>
        <v>3072</v>
      </c>
      <c r="P100" s="41"/>
      <c r="Q100" s="108" t="s">
        <v>48</v>
      </c>
      <c r="R100" s="179" t="s">
        <v>91</v>
      </c>
      <c r="S100" s="186" t="str">
        <f t="shared" ref="S100" si="397">CONCATENATE(Q100,R100,AA100)</f>
        <v>BPD2009</v>
      </c>
      <c r="T100" s="186" t="str">
        <f t="shared" si="350"/>
        <v>B5.2.32009</v>
      </c>
      <c r="U100" s="186" t="s">
        <v>324</v>
      </c>
      <c r="V100"/>
      <c r="W100"/>
      <c r="X100"/>
      <c r="Y100"/>
      <c r="Z100"/>
      <c r="AA100" s="85">
        <v>2009</v>
      </c>
      <c r="AB100" s="2">
        <f t="shared" ref="AB100" si="398">IF($Q100="B", (G100*$N100),0)</f>
        <v>0</v>
      </c>
      <c r="AC100" s="2">
        <f t="shared" ref="AC100" si="399">IF($Q100="B", (H100*$N100),0)</f>
        <v>16</v>
      </c>
      <c r="AD100" s="2">
        <f t="shared" ref="AD100" si="400">IF($Q100="B", (I100*$N100),0)</f>
        <v>0</v>
      </c>
      <c r="AE100" s="2">
        <f t="shared" ref="AE100" si="401">IF($Q100="B", (J100*$N100),0)</f>
        <v>8</v>
      </c>
      <c r="AF100" s="2">
        <f t="shared" ref="AF100" si="402">IF($Q100="B", (K100*$N100),0)</f>
        <v>0</v>
      </c>
      <c r="AG100" s="3">
        <f t="shared" ref="AG100" si="403">IF($Q100="B", (F100*$N100),0)</f>
        <v>0</v>
      </c>
      <c r="AH100" s="73"/>
      <c r="AI100" s="2"/>
      <c r="AJ100" s="2"/>
      <c r="AL100" s="80">
        <f t="shared" si="388"/>
        <v>0</v>
      </c>
      <c r="AM100" s="10">
        <f t="shared" si="389"/>
        <v>0</v>
      </c>
      <c r="AN100" s="10">
        <f t="shared" si="390"/>
        <v>0</v>
      </c>
      <c r="AO100" s="10">
        <f t="shared" si="391"/>
        <v>0</v>
      </c>
      <c r="AP100" s="10">
        <f t="shared" si="392"/>
        <v>0</v>
      </c>
      <c r="AQ100" s="2">
        <f t="shared" si="393"/>
        <v>0</v>
      </c>
      <c r="AR100" s="73"/>
    </row>
    <row r="101" spans="1:44">
      <c r="A101" s="102" t="s">
        <v>151</v>
      </c>
      <c r="B101" s="40" t="s">
        <v>34</v>
      </c>
      <c r="C101">
        <v>0</v>
      </c>
      <c r="D101" s="40" t="s">
        <v>9</v>
      </c>
      <c r="E101" s="31">
        <v>0</v>
      </c>
      <c r="F101" s="128">
        <f t="shared" si="363"/>
        <v>0</v>
      </c>
      <c r="G101" s="139">
        <v>0</v>
      </c>
      <c r="H101" s="168">
        <v>8</v>
      </c>
      <c r="I101" s="139">
        <v>0</v>
      </c>
      <c r="J101" s="139">
        <v>0</v>
      </c>
      <c r="K101" s="140">
        <v>0</v>
      </c>
      <c r="L101" t="s">
        <v>8</v>
      </c>
      <c r="M101" s="31">
        <f t="shared" si="364"/>
        <v>936</v>
      </c>
      <c r="N101">
        <v>1</v>
      </c>
      <c r="O101" s="41">
        <f t="shared" si="365"/>
        <v>936</v>
      </c>
      <c r="P101" s="41"/>
      <c r="Q101" s="108" t="s">
        <v>49</v>
      </c>
      <c r="R101" s="179" t="s">
        <v>91</v>
      </c>
      <c r="S101" s="186" t="str">
        <f t="shared" si="366"/>
        <v>CPD2009</v>
      </c>
      <c r="T101" s="186" t="str">
        <f t="shared" si="350"/>
        <v>C5.2.32009</v>
      </c>
      <c r="U101" s="186" t="s">
        <v>324</v>
      </c>
      <c r="V101"/>
      <c r="W101"/>
      <c r="X101"/>
      <c r="Y101"/>
      <c r="Z101"/>
      <c r="AA101" s="85">
        <v>2009</v>
      </c>
      <c r="AB101" s="2">
        <f t="shared" si="367"/>
        <v>0</v>
      </c>
      <c r="AC101" s="2">
        <f t="shared" si="368"/>
        <v>0</v>
      </c>
      <c r="AD101" s="2">
        <f t="shared" si="369"/>
        <v>0</v>
      </c>
      <c r="AE101" s="2">
        <f t="shared" si="370"/>
        <v>0</v>
      </c>
      <c r="AF101" s="2">
        <f t="shared" si="371"/>
        <v>0</v>
      </c>
      <c r="AG101" s="3">
        <f t="shared" si="372"/>
        <v>0</v>
      </c>
      <c r="AH101" s="73"/>
      <c r="AI101" s="2"/>
      <c r="AJ101" s="2"/>
      <c r="AL101" s="80">
        <f t="shared" ref="AL101" si="404">IF($Q101="C", (G101*$N101),0)</f>
        <v>0</v>
      </c>
      <c r="AM101" s="10">
        <f t="shared" ref="AM101" si="405">IF($Q101="C", (H101*$N101),0)</f>
        <v>8</v>
      </c>
      <c r="AN101" s="10">
        <f t="shared" ref="AN101" si="406">IF($Q101="C", (I101*$N101),0)</f>
        <v>0</v>
      </c>
      <c r="AO101" s="10">
        <f t="shared" ref="AO101" si="407">IF($Q101="C", (J101*$N101),0)</f>
        <v>0</v>
      </c>
      <c r="AP101" s="10">
        <f t="shared" ref="AP101" si="408">IF($Q101="C", (K101*$N101),0)</f>
        <v>0</v>
      </c>
      <c r="AQ101" s="2">
        <f t="shared" ref="AQ101" si="409">IF($Q101="C", (F101*$N101),0)</f>
        <v>0</v>
      </c>
      <c r="AR101" s="73"/>
    </row>
    <row r="102" spans="1:44" s="106" customFormat="1">
      <c r="A102" s="103" t="s">
        <v>195</v>
      </c>
      <c r="E102" s="120"/>
      <c r="F102" s="129"/>
      <c r="G102" s="143"/>
      <c r="H102" s="143"/>
      <c r="I102" s="143"/>
      <c r="J102" s="143"/>
      <c r="K102" s="144"/>
      <c r="L102" s="169" t="s">
        <v>78</v>
      </c>
      <c r="M102" s="170">
        <f>SUMIF(Q96:Q101,"B",M96:M101)</f>
        <v>24840</v>
      </c>
      <c r="N102" s="171" t="s">
        <v>78</v>
      </c>
      <c r="O102" s="112"/>
      <c r="P102" s="112"/>
      <c r="Q102" s="108"/>
      <c r="R102" s="179"/>
      <c r="S102" s="186"/>
      <c r="T102" s="186"/>
      <c r="U102" s="186"/>
      <c r="V102"/>
      <c r="W102"/>
      <c r="X102"/>
      <c r="Y102"/>
      <c r="Z102"/>
      <c r="AA102" s="113"/>
      <c r="AB102" s="114"/>
      <c r="AC102" s="114"/>
      <c r="AD102" s="115"/>
      <c r="AE102" s="114"/>
      <c r="AF102" s="114"/>
      <c r="AG102" s="48"/>
      <c r="AH102" s="116"/>
      <c r="AI102" s="101"/>
      <c r="AJ102" s="101"/>
      <c r="AK102" s="31"/>
      <c r="AL102" s="117"/>
      <c r="AM102" s="114"/>
      <c r="AN102" s="114"/>
      <c r="AO102" s="114"/>
      <c r="AP102" s="114"/>
      <c r="AQ102" s="101"/>
      <c r="AR102" s="116"/>
    </row>
    <row r="103" spans="1:44">
      <c r="A103" s="102" t="s">
        <v>156</v>
      </c>
      <c r="B103" s="40" t="s">
        <v>34</v>
      </c>
      <c r="C103">
        <v>0</v>
      </c>
      <c r="D103" s="40" t="s">
        <v>9</v>
      </c>
      <c r="E103" s="31">
        <v>0</v>
      </c>
      <c r="F103" s="128">
        <f t="shared" ref="F103:F107" si="410">E103*C103</f>
        <v>0</v>
      </c>
      <c r="G103" s="139">
        <v>0</v>
      </c>
      <c r="H103" s="139">
        <v>4</v>
      </c>
      <c r="I103" s="139">
        <v>0</v>
      </c>
      <c r="J103" s="139">
        <v>4</v>
      </c>
      <c r="K103" s="140">
        <v>0</v>
      </c>
      <c r="L103" t="s">
        <v>8</v>
      </c>
      <c r="M103" s="31">
        <f t="shared" ref="M103:M107" si="411">((Shop*G103)+(M_Tech*H103)+(CMM*I103)+(ENG*J103)+(DES*K103))*N103</f>
        <v>1068</v>
      </c>
      <c r="N103">
        <v>1</v>
      </c>
      <c r="O103" s="41">
        <f t="shared" ref="O103" si="412">M103+(N103*F103)</f>
        <v>1068</v>
      </c>
      <c r="P103" s="41"/>
      <c r="Q103" s="108" t="s">
        <v>48</v>
      </c>
      <c r="R103" s="179" t="s">
        <v>91</v>
      </c>
      <c r="S103" s="186" t="str">
        <f t="shared" ref="S103:S107" si="413">CONCATENATE(Q103,R103,AA103)</f>
        <v>BPD2009</v>
      </c>
      <c r="T103" s="186" t="str">
        <f t="shared" ref="T103:T107" si="414">CONCATENATE(Q103,U103,AA103)</f>
        <v>B5.2.32009</v>
      </c>
      <c r="U103" s="186" t="s">
        <v>324</v>
      </c>
      <c r="V103"/>
      <c r="W103"/>
      <c r="X103"/>
      <c r="Y103"/>
      <c r="Z103"/>
      <c r="AA103" s="85">
        <v>2009</v>
      </c>
      <c r="AB103" s="2">
        <f t="shared" ref="AB103:AB107" si="415">IF($Q103="B", (G103*$N103),0)</f>
        <v>0</v>
      </c>
      <c r="AC103" s="2">
        <f t="shared" ref="AC103:AC107" si="416">IF($Q103="B", (H103*$N103),0)</f>
        <v>4</v>
      </c>
      <c r="AD103" s="2">
        <f t="shared" ref="AD103:AD107" si="417">IF($Q103="B", (I103*$N103),0)</f>
        <v>0</v>
      </c>
      <c r="AE103" s="2">
        <f t="shared" ref="AE103:AE107" si="418">IF($Q103="B", (J103*$N103),0)</f>
        <v>4</v>
      </c>
      <c r="AF103" s="2">
        <f t="shared" ref="AF103:AF107" si="419">IF($Q103="B", (K103*$N103),0)</f>
        <v>0</v>
      </c>
      <c r="AG103" s="3">
        <f t="shared" ref="AG103:AG107" si="420">IF($Q103="B", (F103*$N103),0)</f>
        <v>0</v>
      </c>
      <c r="AH103" s="73"/>
      <c r="AI103" s="2"/>
      <c r="AJ103" s="2"/>
      <c r="AL103" s="80">
        <f t="shared" ref="AL103:AL107" si="421">IF($Q103="C", (G103*$N103),0)</f>
        <v>0</v>
      </c>
      <c r="AM103" s="10">
        <f t="shared" ref="AM103:AM107" si="422">IF($Q103="C", (H103*$N103),0)</f>
        <v>0</v>
      </c>
      <c r="AN103" s="10">
        <f t="shared" ref="AN103:AN107" si="423">IF($Q103="C", (I103*$N103),0)</f>
        <v>0</v>
      </c>
      <c r="AO103" s="10">
        <f t="shared" ref="AO103:AO107" si="424">IF($Q103="C", (J103*$N103),0)</f>
        <v>0</v>
      </c>
      <c r="AP103" s="10">
        <f t="shared" ref="AP103:AP107" si="425">IF($Q103="C", (K103*$N103),0)</f>
        <v>0</v>
      </c>
      <c r="AQ103" s="2">
        <f t="shared" ref="AQ103:AQ107" si="426">IF($Q103="C", (F103*$N103),0)</f>
        <v>0</v>
      </c>
      <c r="AR103" s="73"/>
    </row>
    <row r="104" spans="1:44">
      <c r="A104" s="102" t="s">
        <v>157</v>
      </c>
      <c r="B104" s="40" t="s">
        <v>65</v>
      </c>
      <c r="C104">
        <v>1</v>
      </c>
      <c r="D104" s="40" t="s">
        <v>66</v>
      </c>
      <c r="E104" s="31">
        <v>55</v>
      </c>
      <c r="F104" s="128">
        <f t="shared" si="410"/>
        <v>55</v>
      </c>
      <c r="G104" s="139">
        <v>0</v>
      </c>
      <c r="H104" s="139">
        <v>8</v>
      </c>
      <c r="I104" s="139">
        <v>0</v>
      </c>
      <c r="J104" s="139">
        <v>0</v>
      </c>
      <c r="K104" s="140">
        <v>0</v>
      </c>
      <c r="L104" t="s">
        <v>8</v>
      </c>
      <c r="M104" s="31">
        <f t="shared" si="411"/>
        <v>1872</v>
      </c>
      <c r="N104">
        <v>2</v>
      </c>
      <c r="O104" s="41">
        <f>M104+(N104*F104)</f>
        <v>1982</v>
      </c>
      <c r="P104" s="41"/>
      <c r="Q104" s="108" t="s">
        <v>48</v>
      </c>
      <c r="R104" s="179" t="s">
        <v>91</v>
      </c>
      <c r="S104" s="186" t="str">
        <f t="shared" si="413"/>
        <v>BPD2009</v>
      </c>
      <c r="T104" s="186" t="str">
        <f t="shared" si="414"/>
        <v>B5.2.32009</v>
      </c>
      <c r="U104" s="186" t="s">
        <v>324</v>
      </c>
      <c r="V104"/>
      <c r="W104"/>
      <c r="X104"/>
      <c r="Y104"/>
      <c r="Z104"/>
      <c r="AA104" s="85">
        <v>2009</v>
      </c>
      <c r="AB104" s="2">
        <f t="shared" si="415"/>
        <v>0</v>
      </c>
      <c r="AC104" s="2">
        <f t="shared" si="416"/>
        <v>16</v>
      </c>
      <c r="AD104" s="2">
        <f t="shared" si="417"/>
        <v>0</v>
      </c>
      <c r="AE104" s="2">
        <f t="shared" si="418"/>
        <v>0</v>
      </c>
      <c r="AF104" s="2">
        <f t="shared" si="419"/>
        <v>0</v>
      </c>
      <c r="AG104" s="3">
        <f t="shared" si="420"/>
        <v>110</v>
      </c>
      <c r="AH104" s="73"/>
      <c r="AI104" s="2"/>
      <c r="AJ104" s="2"/>
      <c r="AL104" s="80">
        <f t="shared" si="421"/>
        <v>0</v>
      </c>
      <c r="AM104" s="10">
        <f t="shared" si="422"/>
        <v>0</v>
      </c>
      <c r="AN104" s="10">
        <f t="shared" si="423"/>
        <v>0</v>
      </c>
      <c r="AO104" s="10">
        <f t="shared" si="424"/>
        <v>0</v>
      </c>
      <c r="AP104" s="10">
        <f t="shared" si="425"/>
        <v>0</v>
      </c>
      <c r="AQ104" s="2">
        <f t="shared" si="426"/>
        <v>0</v>
      </c>
      <c r="AR104" s="73"/>
    </row>
    <row r="105" spans="1:44">
      <c r="A105" s="102" t="s">
        <v>158</v>
      </c>
      <c r="B105" s="40" t="s">
        <v>65</v>
      </c>
      <c r="C105">
        <v>1</v>
      </c>
      <c r="D105" s="40" t="s">
        <v>66</v>
      </c>
      <c r="E105" s="31">
        <v>55</v>
      </c>
      <c r="F105" s="128">
        <f t="shared" si="410"/>
        <v>55</v>
      </c>
      <c r="G105" s="139">
        <v>0</v>
      </c>
      <c r="H105" s="139">
        <v>8</v>
      </c>
      <c r="I105" s="139">
        <v>0</v>
      </c>
      <c r="J105" s="139">
        <v>0</v>
      </c>
      <c r="K105" s="140">
        <v>0</v>
      </c>
      <c r="L105" t="s">
        <v>8</v>
      </c>
      <c r="M105" s="31">
        <f t="shared" si="411"/>
        <v>936</v>
      </c>
      <c r="N105">
        <v>1</v>
      </c>
      <c r="O105" s="41">
        <f>M105+(N105*F105)</f>
        <v>991</v>
      </c>
      <c r="P105" s="41"/>
      <c r="Q105" s="108" t="s">
        <v>49</v>
      </c>
      <c r="R105" s="179" t="s">
        <v>91</v>
      </c>
      <c r="S105" s="186" t="str">
        <f t="shared" si="413"/>
        <v>CPD2009</v>
      </c>
      <c r="T105" s="186" t="str">
        <f t="shared" si="414"/>
        <v>C5.2.32009</v>
      </c>
      <c r="U105" s="186" t="s">
        <v>324</v>
      </c>
      <c r="V105"/>
      <c r="W105"/>
      <c r="X105"/>
      <c r="Y105"/>
      <c r="Z105"/>
      <c r="AA105" s="85">
        <v>2009</v>
      </c>
      <c r="AB105" s="2">
        <f t="shared" si="415"/>
        <v>0</v>
      </c>
      <c r="AC105" s="2">
        <f t="shared" si="416"/>
        <v>0</v>
      </c>
      <c r="AD105" s="2">
        <f t="shared" si="417"/>
        <v>0</v>
      </c>
      <c r="AE105" s="2">
        <f t="shared" si="418"/>
        <v>0</v>
      </c>
      <c r="AF105" s="2">
        <f t="shared" si="419"/>
        <v>0</v>
      </c>
      <c r="AG105" s="3">
        <f t="shared" si="420"/>
        <v>0</v>
      </c>
      <c r="AH105" s="73"/>
      <c r="AI105" s="2"/>
      <c r="AJ105" s="2"/>
      <c r="AL105" s="80">
        <f t="shared" si="421"/>
        <v>0</v>
      </c>
      <c r="AM105" s="10">
        <f t="shared" si="422"/>
        <v>8</v>
      </c>
      <c r="AN105" s="10">
        <f t="shared" si="423"/>
        <v>0</v>
      </c>
      <c r="AO105" s="10">
        <f t="shared" si="424"/>
        <v>0</v>
      </c>
      <c r="AP105" s="10">
        <f t="shared" si="425"/>
        <v>0</v>
      </c>
      <c r="AQ105" s="2">
        <f t="shared" si="426"/>
        <v>55</v>
      </c>
      <c r="AR105" s="73"/>
    </row>
    <row r="106" spans="1:44">
      <c r="A106" s="102" t="s">
        <v>196</v>
      </c>
      <c r="B106" s="40" t="s">
        <v>34</v>
      </c>
      <c r="C106">
        <v>0</v>
      </c>
      <c r="D106" s="40" t="s">
        <v>9</v>
      </c>
      <c r="E106" s="31">
        <v>0</v>
      </c>
      <c r="F106" s="128">
        <f t="shared" si="410"/>
        <v>0</v>
      </c>
      <c r="G106" s="243">
        <v>12</v>
      </c>
      <c r="H106" s="139">
        <v>0</v>
      </c>
      <c r="I106" s="139">
        <v>0</v>
      </c>
      <c r="J106" s="139">
        <v>2</v>
      </c>
      <c r="K106" s="140">
        <v>0</v>
      </c>
      <c r="L106" t="s">
        <v>8</v>
      </c>
      <c r="M106" s="31">
        <f t="shared" si="411"/>
        <v>7296</v>
      </c>
      <c r="N106">
        <v>4</v>
      </c>
      <c r="O106" s="41">
        <f t="shared" ref="O106:O107" si="427">M106+(N106*F106)</f>
        <v>7296</v>
      </c>
      <c r="P106" s="41"/>
      <c r="Q106" s="108" t="s">
        <v>48</v>
      </c>
      <c r="R106" s="179" t="s">
        <v>91</v>
      </c>
      <c r="S106" s="186" t="str">
        <f t="shared" si="413"/>
        <v>BPD2009</v>
      </c>
      <c r="T106" s="186" t="str">
        <f t="shared" si="414"/>
        <v>B5.2.32009</v>
      </c>
      <c r="U106" s="186" t="s">
        <v>324</v>
      </c>
      <c r="V106"/>
      <c r="W106"/>
      <c r="X106"/>
      <c r="Y106"/>
      <c r="Z106"/>
      <c r="AA106" s="85">
        <v>2009</v>
      </c>
      <c r="AB106" s="2">
        <f t="shared" si="415"/>
        <v>48</v>
      </c>
      <c r="AC106" s="2">
        <f t="shared" si="416"/>
        <v>0</v>
      </c>
      <c r="AD106" s="2">
        <f t="shared" si="417"/>
        <v>0</v>
      </c>
      <c r="AE106" s="2">
        <f t="shared" si="418"/>
        <v>8</v>
      </c>
      <c r="AF106" s="2">
        <f t="shared" si="419"/>
        <v>0</v>
      </c>
      <c r="AG106" s="3">
        <f t="shared" si="420"/>
        <v>0</v>
      </c>
      <c r="AH106" s="73"/>
      <c r="AI106" s="2"/>
      <c r="AJ106" s="2"/>
      <c r="AL106" s="80">
        <f t="shared" si="421"/>
        <v>0</v>
      </c>
      <c r="AM106" s="10">
        <f t="shared" si="422"/>
        <v>0</v>
      </c>
      <c r="AN106" s="10">
        <f t="shared" si="423"/>
        <v>0</v>
      </c>
      <c r="AO106" s="10">
        <f t="shared" si="424"/>
        <v>0</v>
      </c>
      <c r="AP106" s="10">
        <f t="shared" si="425"/>
        <v>0</v>
      </c>
      <c r="AQ106" s="2">
        <f t="shared" si="426"/>
        <v>0</v>
      </c>
      <c r="AR106" s="73"/>
    </row>
    <row r="107" spans="1:44">
      <c r="A107" s="102" t="s">
        <v>197</v>
      </c>
      <c r="B107" s="40" t="s">
        <v>34</v>
      </c>
      <c r="C107">
        <v>0</v>
      </c>
      <c r="D107" s="40" t="s">
        <v>9</v>
      </c>
      <c r="E107" s="31">
        <v>0</v>
      </c>
      <c r="F107" s="128">
        <f t="shared" si="410"/>
        <v>0</v>
      </c>
      <c r="G107" s="168">
        <v>16</v>
      </c>
      <c r="H107" s="139">
        <v>0</v>
      </c>
      <c r="I107" s="139">
        <v>0</v>
      </c>
      <c r="J107" s="243">
        <v>2</v>
      </c>
      <c r="K107" s="140">
        <v>0</v>
      </c>
      <c r="L107" t="s">
        <v>8</v>
      </c>
      <c r="M107" s="31">
        <f t="shared" si="411"/>
        <v>2332</v>
      </c>
      <c r="N107">
        <v>1</v>
      </c>
      <c r="O107" s="41">
        <f t="shared" si="427"/>
        <v>2332</v>
      </c>
      <c r="P107" s="41"/>
      <c r="Q107" s="108" t="s">
        <v>49</v>
      </c>
      <c r="R107" s="179" t="s">
        <v>91</v>
      </c>
      <c r="S107" s="186" t="str">
        <f t="shared" si="413"/>
        <v>CPD2009</v>
      </c>
      <c r="T107" s="186" t="str">
        <f t="shared" si="414"/>
        <v>C5.2.32009</v>
      </c>
      <c r="U107" s="186" t="s">
        <v>324</v>
      </c>
      <c r="V107"/>
      <c r="W107"/>
      <c r="X107"/>
      <c r="Y107"/>
      <c r="Z107"/>
      <c r="AA107" s="85">
        <v>2009</v>
      </c>
      <c r="AB107" s="2">
        <f t="shared" si="415"/>
        <v>0</v>
      </c>
      <c r="AC107" s="2">
        <f t="shared" si="416"/>
        <v>0</v>
      </c>
      <c r="AD107" s="2">
        <f t="shared" si="417"/>
        <v>0</v>
      </c>
      <c r="AE107" s="2">
        <f t="shared" si="418"/>
        <v>0</v>
      </c>
      <c r="AF107" s="2">
        <f t="shared" si="419"/>
        <v>0</v>
      </c>
      <c r="AG107" s="3">
        <f t="shared" si="420"/>
        <v>0</v>
      </c>
      <c r="AH107" s="73"/>
      <c r="AI107" s="2"/>
      <c r="AJ107" s="2"/>
      <c r="AL107" s="80">
        <f t="shared" si="421"/>
        <v>16</v>
      </c>
      <c r="AM107" s="10">
        <f t="shared" si="422"/>
        <v>0</v>
      </c>
      <c r="AN107" s="10">
        <f t="shared" si="423"/>
        <v>0</v>
      </c>
      <c r="AO107" s="10">
        <f t="shared" si="424"/>
        <v>2</v>
      </c>
      <c r="AP107" s="10">
        <f t="shared" si="425"/>
        <v>0</v>
      </c>
      <c r="AQ107" s="2">
        <f t="shared" si="426"/>
        <v>0</v>
      </c>
      <c r="AR107" s="73"/>
    </row>
    <row r="108" spans="1:44" s="106" customFormat="1">
      <c r="A108" s="103" t="s">
        <v>302</v>
      </c>
      <c r="E108" s="120"/>
      <c r="F108" s="129"/>
      <c r="G108" s="143"/>
      <c r="H108" s="143"/>
      <c r="I108" s="143"/>
      <c r="J108" s="143"/>
      <c r="K108" s="144"/>
      <c r="L108" s="169" t="s">
        <v>78</v>
      </c>
      <c r="M108" s="170">
        <f>SUMIF(Q103:Q107,"B",M103:M107)</f>
        <v>10236</v>
      </c>
      <c r="N108" s="171" t="s">
        <v>78</v>
      </c>
      <c r="O108" s="112"/>
      <c r="P108" s="112"/>
      <c r="Q108" s="108"/>
      <c r="R108" s="179"/>
      <c r="S108" s="186"/>
      <c r="T108" s="186"/>
      <c r="U108" s="186"/>
      <c r="V108"/>
      <c r="W108"/>
      <c r="X108"/>
      <c r="Y108"/>
      <c r="Z108"/>
      <c r="AA108" s="113"/>
      <c r="AB108" s="114"/>
      <c r="AC108" s="114"/>
      <c r="AD108" s="115"/>
      <c r="AE108" s="114"/>
      <c r="AF108" s="114"/>
      <c r="AG108" s="48"/>
      <c r="AH108" s="116"/>
      <c r="AI108" s="101"/>
      <c r="AJ108" s="101"/>
      <c r="AK108" s="31"/>
      <c r="AL108" s="117"/>
      <c r="AM108" s="114"/>
      <c r="AN108" s="114"/>
      <c r="AO108" s="114"/>
      <c r="AP108" s="114"/>
      <c r="AQ108" s="101"/>
      <c r="AR108" s="116"/>
    </row>
    <row r="109" spans="1:44">
      <c r="A109" s="102" t="s">
        <v>156</v>
      </c>
      <c r="B109" s="40" t="s">
        <v>34</v>
      </c>
      <c r="C109">
        <v>0</v>
      </c>
      <c r="D109" s="40" t="s">
        <v>9</v>
      </c>
      <c r="E109" s="31">
        <v>0</v>
      </c>
      <c r="F109" s="128">
        <f t="shared" ref="F109" si="428">E109*C109</f>
        <v>0</v>
      </c>
      <c r="G109" s="139">
        <v>0</v>
      </c>
      <c r="H109" s="139">
        <v>4</v>
      </c>
      <c r="I109" s="139">
        <v>0</v>
      </c>
      <c r="J109" s="139">
        <v>8</v>
      </c>
      <c r="K109" s="140">
        <v>0</v>
      </c>
      <c r="L109" t="s">
        <v>8</v>
      </c>
      <c r="M109" s="31">
        <f t="shared" ref="M109" si="429">((Shop*G109)+(M_Tech*H109)+(CMM*I109)+(ENG*J109)+(DES*K109))*N109</f>
        <v>1668</v>
      </c>
      <c r="N109">
        <v>1</v>
      </c>
      <c r="O109" s="41">
        <f t="shared" ref="O109" si="430">M109+(N109*F109)</f>
        <v>1668</v>
      </c>
      <c r="P109" s="41"/>
      <c r="Q109" s="108" t="s">
        <v>48</v>
      </c>
      <c r="R109" s="179" t="s">
        <v>91</v>
      </c>
      <c r="S109" s="186" t="str">
        <f t="shared" ref="S109" si="431">CONCATENATE(Q109,R109,AA109)</f>
        <v>BPD2009</v>
      </c>
      <c r="T109" s="186" t="str">
        <f t="shared" ref="T109:T113" si="432">CONCATENATE(Q109,U109,AA109)</f>
        <v>B5.2.32009</v>
      </c>
      <c r="U109" s="186" t="s">
        <v>324</v>
      </c>
      <c r="V109"/>
      <c r="W109"/>
      <c r="X109"/>
      <c r="Y109"/>
      <c r="Z109"/>
      <c r="AA109" s="85">
        <v>2009</v>
      </c>
      <c r="AB109" s="2">
        <f t="shared" ref="AB109" si="433">IF($Q109="B", (G109*$N109),0)</f>
        <v>0</v>
      </c>
      <c r="AC109" s="2">
        <f t="shared" ref="AC109" si="434">IF($Q109="B", (H109*$N109),0)</f>
        <v>4</v>
      </c>
      <c r="AD109" s="2">
        <f t="shared" ref="AD109" si="435">IF($Q109="B", (I109*$N109),0)</f>
        <v>0</v>
      </c>
      <c r="AE109" s="2">
        <f t="shared" ref="AE109" si="436">IF($Q109="B", (J109*$N109),0)</f>
        <v>8</v>
      </c>
      <c r="AF109" s="2">
        <f t="shared" ref="AF109" si="437">IF($Q109="B", (K109*$N109),0)</f>
        <v>0</v>
      </c>
      <c r="AG109" s="3">
        <f t="shared" ref="AG109" si="438">IF($Q109="B", (F109*$N109),0)</f>
        <v>0</v>
      </c>
      <c r="AH109" s="73"/>
      <c r="AI109" s="2"/>
      <c r="AJ109" s="2"/>
      <c r="AL109" s="80">
        <f t="shared" ref="AL109" si="439">IF($Q109="C", (G109*$N109),0)</f>
        <v>0</v>
      </c>
      <c r="AM109" s="10">
        <f t="shared" ref="AM109" si="440">IF($Q109="C", (H109*$N109),0)</f>
        <v>0</v>
      </c>
      <c r="AN109" s="10">
        <f t="shared" ref="AN109" si="441">IF($Q109="C", (I109*$N109),0)</f>
        <v>0</v>
      </c>
      <c r="AO109" s="10">
        <f t="shared" ref="AO109" si="442">IF($Q109="C", (J109*$N109),0)</f>
        <v>0</v>
      </c>
      <c r="AP109" s="10">
        <f t="shared" ref="AP109" si="443">IF($Q109="C", (K109*$N109),0)</f>
        <v>0</v>
      </c>
      <c r="AQ109" s="2">
        <f t="shared" ref="AQ109" si="444">IF($Q109="C", (F109*$N109),0)</f>
        <v>0</v>
      </c>
      <c r="AR109" s="73"/>
    </row>
    <row r="110" spans="1:44">
      <c r="A110" s="102" t="s">
        <v>303</v>
      </c>
      <c r="B110" s="40" t="s">
        <v>65</v>
      </c>
      <c r="C110">
        <v>1</v>
      </c>
      <c r="D110" s="40" t="s">
        <v>66</v>
      </c>
      <c r="E110" s="31">
        <v>55</v>
      </c>
      <c r="F110" s="128">
        <f t="shared" ref="F110:F113" si="445">E110*C110</f>
        <v>55</v>
      </c>
      <c r="G110" s="139">
        <v>0</v>
      </c>
      <c r="H110" s="168">
        <v>8</v>
      </c>
      <c r="I110" s="139">
        <v>0</v>
      </c>
      <c r="J110" s="139">
        <v>8</v>
      </c>
      <c r="K110" s="140">
        <v>0</v>
      </c>
      <c r="L110" t="s">
        <v>8</v>
      </c>
      <c r="M110" s="31">
        <f t="shared" ref="M110:M113" si="446">((Shop*G110)+(M_Tech*H110)+(CMM*I110)+(ENG*J110)+(DES*K110))*N110</f>
        <v>2136</v>
      </c>
      <c r="N110" s="242">
        <v>1</v>
      </c>
      <c r="O110" s="41">
        <f t="shared" ref="O110" si="447">M110+(N110*F110)</f>
        <v>2191</v>
      </c>
      <c r="P110" s="41"/>
      <c r="Q110" s="108" t="s">
        <v>48</v>
      </c>
      <c r="R110" s="179" t="s">
        <v>91</v>
      </c>
      <c r="S110" s="186" t="str">
        <f t="shared" ref="S110:S113" si="448">CONCATENATE(Q110,R110,AA110)</f>
        <v>BPD2009</v>
      </c>
      <c r="T110" s="186" t="str">
        <f t="shared" si="432"/>
        <v>B5.2.32009</v>
      </c>
      <c r="U110" s="186" t="s">
        <v>324</v>
      </c>
      <c r="V110"/>
      <c r="W110"/>
      <c r="X110"/>
      <c r="Y110"/>
      <c r="Z110"/>
      <c r="AA110" s="85">
        <v>2009</v>
      </c>
      <c r="AB110" s="2">
        <f t="shared" ref="AB110:AB113" si="449">IF($Q110="B", (G110*$N110),0)</f>
        <v>0</v>
      </c>
      <c r="AC110" s="2">
        <f t="shared" ref="AC110:AC113" si="450">IF($Q110="B", (H110*$N110),0)</f>
        <v>8</v>
      </c>
      <c r="AD110" s="2">
        <f t="shared" ref="AD110:AD113" si="451">IF($Q110="B", (I110*$N110),0)</f>
        <v>0</v>
      </c>
      <c r="AE110" s="2">
        <f t="shared" ref="AE110:AE113" si="452">IF($Q110="B", (J110*$N110),0)</f>
        <v>8</v>
      </c>
      <c r="AF110" s="2">
        <f t="shared" ref="AF110:AF113" si="453">IF($Q110="B", (K110*$N110),0)</f>
        <v>0</v>
      </c>
      <c r="AG110" s="3">
        <f t="shared" ref="AG110:AG113" si="454">IF($Q110="B", (F110*$N110),0)</f>
        <v>55</v>
      </c>
      <c r="AH110" s="73"/>
      <c r="AI110" s="2"/>
      <c r="AJ110" s="2"/>
      <c r="AL110" s="80">
        <f t="shared" ref="AL110:AL113" si="455">IF($Q110="C", (G110*$N110),0)</f>
        <v>0</v>
      </c>
      <c r="AM110" s="10">
        <f t="shared" ref="AM110:AM113" si="456">IF($Q110="C", (H110*$N110),0)</f>
        <v>0</v>
      </c>
      <c r="AN110" s="10">
        <f t="shared" ref="AN110:AN113" si="457">IF($Q110="C", (I110*$N110),0)</f>
        <v>0</v>
      </c>
      <c r="AO110" s="10">
        <f t="shared" ref="AO110:AO113" si="458">IF($Q110="C", (J110*$N110),0)</f>
        <v>0</v>
      </c>
      <c r="AP110" s="10">
        <f t="shared" ref="AP110:AP113" si="459">IF($Q110="C", (K110*$N110),0)</f>
        <v>0</v>
      </c>
      <c r="AQ110" s="2">
        <f t="shared" ref="AQ110:AQ113" si="460">IF($Q110="C", (F110*$N110),0)</f>
        <v>0</v>
      </c>
      <c r="AR110" s="73"/>
    </row>
    <row r="111" spans="1:44">
      <c r="A111" s="102" t="s">
        <v>159</v>
      </c>
      <c r="B111" s="40" t="s">
        <v>65</v>
      </c>
      <c r="C111">
        <v>1</v>
      </c>
      <c r="D111" s="40" t="s">
        <v>66</v>
      </c>
      <c r="E111" s="31">
        <v>55</v>
      </c>
      <c r="F111" s="128">
        <f t="shared" ref="F111" si="461">E111*C111</f>
        <v>55</v>
      </c>
      <c r="G111" s="139">
        <v>0</v>
      </c>
      <c r="H111" s="139">
        <v>8</v>
      </c>
      <c r="I111" s="139">
        <v>8</v>
      </c>
      <c r="J111" s="139">
        <v>8</v>
      </c>
      <c r="K111" s="140">
        <v>0</v>
      </c>
      <c r="L111" t="s">
        <v>8</v>
      </c>
      <c r="M111" s="31">
        <f t="shared" ref="M111" si="462">((Shop*G111)+(M_Tech*H111)+(CMM*I111)+(ENG*J111)+(DES*K111))*N111</f>
        <v>0</v>
      </c>
      <c r="N111" s="242">
        <v>0</v>
      </c>
      <c r="O111" s="41">
        <f t="shared" ref="O111" si="463">M111+(N111*F111)</f>
        <v>0</v>
      </c>
      <c r="P111" s="41"/>
      <c r="Q111" s="108" t="s">
        <v>49</v>
      </c>
      <c r="R111" s="179" t="s">
        <v>91</v>
      </c>
      <c r="S111" s="186" t="str">
        <f t="shared" ref="S111" si="464">CONCATENATE(Q111,R111,AA111)</f>
        <v>CPD2009</v>
      </c>
      <c r="T111" s="186" t="str">
        <f t="shared" si="432"/>
        <v>C5.2.32009</v>
      </c>
      <c r="U111" s="186" t="s">
        <v>324</v>
      </c>
      <c r="V111"/>
      <c r="W111"/>
      <c r="X111"/>
      <c r="Y111"/>
      <c r="Z111"/>
      <c r="AA111" s="85">
        <v>2009</v>
      </c>
      <c r="AB111" s="2">
        <f t="shared" ref="AB111" si="465">IF($Q111="B", (G111*$N111),0)</f>
        <v>0</v>
      </c>
      <c r="AC111" s="2">
        <f t="shared" ref="AC111" si="466">IF($Q111="B", (H111*$N111),0)</f>
        <v>0</v>
      </c>
      <c r="AD111" s="2">
        <f t="shared" ref="AD111" si="467">IF($Q111="B", (I111*$N111),0)</f>
        <v>0</v>
      </c>
      <c r="AE111" s="2">
        <f t="shared" ref="AE111" si="468">IF($Q111="B", (J111*$N111),0)</f>
        <v>0</v>
      </c>
      <c r="AF111" s="2">
        <f t="shared" ref="AF111" si="469">IF($Q111="B", (K111*$N111),0)</f>
        <v>0</v>
      </c>
      <c r="AG111" s="3">
        <f t="shared" ref="AG111" si="470">IF($Q111="B", (F111*$N111),0)</f>
        <v>0</v>
      </c>
      <c r="AH111" s="73"/>
      <c r="AI111" s="2"/>
      <c r="AJ111" s="2"/>
      <c r="AL111" s="80">
        <f t="shared" ref="AL111" si="471">IF($Q111="C", (G111*$N111),0)</f>
        <v>0</v>
      </c>
      <c r="AM111" s="10">
        <f t="shared" ref="AM111" si="472">IF($Q111="C", (H111*$N111),0)</f>
        <v>0</v>
      </c>
      <c r="AN111" s="10">
        <f t="shared" ref="AN111" si="473">IF($Q111="C", (I111*$N111),0)</f>
        <v>0</v>
      </c>
      <c r="AO111" s="10">
        <f t="shared" ref="AO111" si="474">IF($Q111="C", (J111*$N111),0)</f>
        <v>0</v>
      </c>
      <c r="AP111" s="10">
        <f t="shared" ref="AP111" si="475">IF($Q111="C", (K111*$N111),0)</f>
        <v>0</v>
      </c>
      <c r="AQ111" s="2">
        <f t="shared" ref="AQ111" si="476">IF($Q111="C", (F111*$N111),0)</f>
        <v>0</v>
      </c>
      <c r="AR111" s="73"/>
    </row>
    <row r="112" spans="1:44">
      <c r="A112" s="102" t="s">
        <v>304</v>
      </c>
      <c r="B112" s="40" t="s">
        <v>65</v>
      </c>
      <c r="C112">
        <v>1</v>
      </c>
      <c r="D112" s="40" t="s">
        <v>66</v>
      </c>
      <c r="E112" s="31">
        <v>55</v>
      </c>
      <c r="F112" s="128">
        <f t="shared" si="445"/>
        <v>55</v>
      </c>
      <c r="G112" s="139">
        <v>0</v>
      </c>
      <c r="H112" s="139">
        <v>8</v>
      </c>
      <c r="I112" s="139">
        <v>0</v>
      </c>
      <c r="J112" s="243">
        <v>2</v>
      </c>
      <c r="K112" s="140">
        <v>0</v>
      </c>
      <c r="L112" t="s">
        <v>8</v>
      </c>
      <c r="M112" s="31">
        <f t="shared" si="446"/>
        <v>4944</v>
      </c>
      <c r="N112">
        <v>4</v>
      </c>
      <c r="O112" s="41">
        <f>M112+(N112*F112)</f>
        <v>5164</v>
      </c>
      <c r="P112" s="41"/>
      <c r="Q112" s="108" t="s">
        <v>48</v>
      </c>
      <c r="R112" s="179" t="s">
        <v>91</v>
      </c>
      <c r="S112" s="186" t="str">
        <f t="shared" si="448"/>
        <v>BPD2009</v>
      </c>
      <c r="T112" s="186" t="str">
        <f t="shared" si="432"/>
        <v>B5.2.32009</v>
      </c>
      <c r="U112" s="186" t="s">
        <v>324</v>
      </c>
      <c r="V112"/>
      <c r="W112"/>
      <c r="X112"/>
      <c r="Y112"/>
      <c r="Z112"/>
      <c r="AA112" s="85">
        <v>2009</v>
      </c>
      <c r="AB112" s="2">
        <f t="shared" si="449"/>
        <v>0</v>
      </c>
      <c r="AC112" s="2">
        <f t="shared" si="450"/>
        <v>32</v>
      </c>
      <c r="AD112" s="2">
        <f t="shared" si="451"/>
        <v>0</v>
      </c>
      <c r="AE112" s="2">
        <f t="shared" si="452"/>
        <v>8</v>
      </c>
      <c r="AF112" s="2">
        <f t="shared" si="453"/>
        <v>0</v>
      </c>
      <c r="AG112" s="3">
        <f t="shared" si="454"/>
        <v>220</v>
      </c>
      <c r="AH112" s="73"/>
      <c r="AI112" s="2"/>
      <c r="AJ112" s="2"/>
      <c r="AL112" s="80">
        <f t="shared" si="455"/>
        <v>0</v>
      </c>
      <c r="AM112" s="10">
        <f t="shared" si="456"/>
        <v>0</v>
      </c>
      <c r="AN112" s="10">
        <f t="shared" si="457"/>
        <v>0</v>
      </c>
      <c r="AO112" s="10">
        <f t="shared" si="458"/>
        <v>0</v>
      </c>
      <c r="AP112" s="10">
        <f t="shared" si="459"/>
        <v>0</v>
      </c>
      <c r="AQ112" s="2">
        <f t="shared" si="460"/>
        <v>0</v>
      </c>
      <c r="AR112" s="73"/>
    </row>
    <row r="113" spans="1:44">
      <c r="A113" s="102" t="s">
        <v>305</v>
      </c>
      <c r="B113" s="40" t="s">
        <v>65</v>
      </c>
      <c r="C113">
        <v>1</v>
      </c>
      <c r="D113" s="40" t="s">
        <v>66</v>
      </c>
      <c r="E113" s="31">
        <v>55</v>
      </c>
      <c r="F113" s="128">
        <f t="shared" si="445"/>
        <v>55</v>
      </c>
      <c r="G113" s="139">
        <v>0</v>
      </c>
      <c r="H113" s="139">
        <v>8</v>
      </c>
      <c r="I113" s="139">
        <v>0</v>
      </c>
      <c r="J113" s="243">
        <v>2</v>
      </c>
      <c r="K113" s="140">
        <v>0</v>
      </c>
      <c r="L113" t="s">
        <v>8</v>
      </c>
      <c r="M113" s="31">
        <f t="shared" si="446"/>
        <v>1236</v>
      </c>
      <c r="N113">
        <v>1</v>
      </c>
      <c r="O113" s="41">
        <f>M113+(N113*F113)</f>
        <v>1291</v>
      </c>
      <c r="P113" s="41"/>
      <c r="Q113" s="108" t="s">
        <v>49</v>
      </c>
      <c r="R113" s="179" t="s">
        <v>91</v>
      </c>
      <c r="S113" s="186" t="str">
        <f t="shared" si="448"/>
        <v>CPD2009</v>
      </c>
      <c r="T113" s="186" t="str">
        <f t="shared" si="432"/>
        <v>C5.2.32009</v>
      </c>
      <c r="U113" s="186" t="s">
        <v>324</v>
      </c>
      <c r="V113"/>
      <c r="W113"/>
      <c r="X113"/>
      <c r="Y113"/>
      <c r="Z113"/>
      <c r="AA113" s="85">
        <v>2009</v>
      </c>
      <c r="AB113" s="2">
        <f t="shared" si="449"/>
        <v>0</v>
      </c>
      <c r="AC113" s="2">
        <f t="shared" si="450"/>
        <v>0</v>
      </c>
      <c r="AD113" s="2">
        <f t="shared" si="451"/>
        <v>0</v>
      </c>
      <c r="AE113" s="2">
        <f t="shared" si="452"/>
        <v>0</v>
      </c>
      <c r="AF113" s="2">
        <f t="shared" si="453"/>
        <v>0</v>
      </c>
      <c r="AG113" s="3">
        <f t="shared" si="454"/>
        <v>0</v>
      </c>
      <c r="AH113" s="73"/>
      <c r="AI113" s="2"/>
      <c r="AJ113" s="2"/>
      <c r="AL113" s="80">
        <f t="shared" si="455"/>
        <v>0</v>
      </c>
      <c r="AM113" s="10">
        <f t="shared" si="456"/>
        <v>8</v>
      </c>
      <c r="AN113" s="10">
        <f t="shared" si="457"/>
        <v>0</v>
      </c>
      <c r="AO113" s="10">
        <f t="shared" si="458"/>
        <v>2</v>
      </c>
      <c r="AP113" s="10">
        <f t="shared" si="459"/>
        <v>0</v>
      </c>
      <c r="AQ113" s="2">
        <f t="shared" si="460"/>
        <v>55</v>
      </c>
      <c r="AR113" s="73"/>
    </row>
    <row r="114" spans="1:44" s="106" customFormat="1">
      <c r="A114" s="103" t="s">
        <v>160</v>
      </c>
      <c r="E114" s="120"/>
      <c r="F114" s="129"/>
      <c r="G114" s="143"/>
      <c r="H114" s="143"/>
      <c r="I114" s="143"/>
      <c r="J114" s="143"/>
      <c r="K114" s="144"/>
      <c r="L114" s="169" t="s">
        <v>78</v>
      </c>
      <c r="M114" s="170">
        <f>SUMIF(Q109:Q113,"B",M109:M113)</f>
        <v>8748</v>
      </c>
      <c r="N114" s="171" t="s">
        <v>78</v>
      </c>
      <c r="O114" s="112"/>
      <c r="P114" s="112"/>
      <c r="Q114" s="108"/>
      <c r="R114" s="179"/>
      <c r="S114" s="186"/>
      <c r="T114" s="186"/>
      <c r="U114" s="186"/>
      <c r="V114"/>
      <c r="W114"/>
      <c r="X114"/>
      <c r="Y114"/>
      <c r="Z114"/>
      <c r="AA114" s="113"/>
      <c r="AB114" s="114"/>
      <c r="AC114" s="114"/>
      <c r="AD114" s="115"/>
      <c r="AE114" s="114"/>
      <c r="AF114" s="114"/>
      <c r="AG114" s="48"/>
      <c r="AH114" s="116"/>
      <c r="AI114" s="101"/>
      <c r="AJ114" s="101"/>
      <c r="AK114" s="31"/>
      <c r="AL114" s="117"/>
      <c r="AM114" s="114"/>
      <c r="AN114" s="114"/>
      <c r="AO114" s="114"/>
      <c r="AP114" s="114"/>
      <c r="AQ114" s="101"/>
      <c r="AR114" s="116"/>
    </row>
    <row r="115" spans="1:44">
      <c r="A115" s="102" t="s">
        <v>162</v>
      </c>
      <c r="B115" s="40" t="s">
        <v>65</v>
      </c>
      <c r="C115">
        <v>1</v>
      </c>
      <c r="D115" s="40" t="s">
        <v>66</v>
      </c>
      <c r="E115" s="31">
        <v>55</v>
      </c>
      <c r="F115" s="128">
        <f t="shared" ref="F115:F122" si="477">E115*C115</f>
        <v>55</v>
      </c>
      <c r="G115" s="139">
        <v>0</v>
      </c>
      <c r="H115" s="139">
        <v>4</v>
      </c>
      <c r="I115" s="139">
        <v>0</v>
      </c>
      <c r="J115" s="139">
        <v>2</v>
      </c>
      <c r="K115" s="140">
        <v>0</v>
      </c>
      <c r="L115" t="s">
        <v>8</v>
      </c>
      <c r="M115" s="31">
        <f t="shared" ref="M115:M122" si="478">((Shop*G115)+(M_Tech*H115)+(CMM*I115)+(ENG*J115)+(DES*K115))*N115</f>
        <v>0</v>
      </c>
      <c r="N115" s="242">
        <v>0</v>
      </c>
      <c r="O115" s="41">
        <f t="shared" ref="O115" si="479">M115+(N115*F115)</f>
        <v>0</v>
      </c>
      <c r="P115" s="41"/>
      <c r="Q115" s="108" t="s">
        <v>48</v>
      </c>
      <c r="R115" s="179" t="s">
        <v>91</v>
      </c>
      <c r="S115" s="186" t="str">
        <f t="shared" ref="S115:S122" si="480">CONCATENATE(Q115,R115,AA115)</f>
        <v>BPD2009</v>
      </c>
      <c r="T115" s="186" t="str">
        <f t="shared" ref="T115:T124" si="481">CONCATENATE(Q115,U115,AA115)</f>
        <v>B5.2.32009</v>
      </c>
      <c r="U115" s="186" t="s">
        <v>324</v>
      </c>
      <c r="V115"/>
      <c r="W115"/>
      <c r="X115"/>
      <c r="Y115"/>
      <c r="Z115"/>
      <c r="AA115" s="85">
        <v>2009</v>
      </c>
      <c r="AB115" s="2">
        <f t="shared" ref="AB115:AB122" si="482">IF($Q115="B", (G115*$N115),0)</f>
        <v>0</v>
      </c>
      <c r="AC115" s="2">
        <f t="shared" ref="AC115:AC122" si="483">IF($Q115="B", (H115*$N115),0)</f>
        <v>0</v>
      </c>
      <c r="AD115" s="2">
        <f t="shared" ref="AD115:AD122" si="484">IF($Q115="B", (I115*$N115),0)</f>
        <v>0</v>
      </c>
      <c r="AE115" s="2">
        <f t="shared" ref="AE115:AE122" si="485">IF($Q115="B", (J115*$N115),0)</f>
        <v>0</v>
      </c>
      <c r="AF115" s="2">
        <f t="shared" ref="AF115:AF122" si="486">IF($Q115="B", (K115*$N115),0)</f>
        <v>0</v>
      </c>
      <c r="AG115" s="3">
        <f t="shared" ref="AG115:AG122" si="487">IF($Q115="B", (F115*$N115),0)</f>
        <v>0</v>
      </c>
      <c r="AH115" s="73"/>
      <c r="AI115" s="2"/>
      <c r="AJ115" s="2"/>
      <c r="AL115" s="80">
        <f t="shared" ref="AL115:AL122" si="488">IF($Q115="C", (G115*$N115),0)</f>
        <v>0</v>
      </c>
      <c r="AM115" s="10">
        <f t="shared" ref="AM115:AM122" si="489">IF($Q115="C", (H115*$N115),0)</f>
        <v>0</v>
      </c>
      <c r="AN115" s="10">
        <f t="shared" ref="AN115:AN122" si="490">IF($Q115="C", (I115*$N115),0)</f>
        <v>0</v>
      </c>
      <c r="AO115" s="10">
        <f t="shared" ref="AO115:AO122" si="491">IF($Q115="C", (J115*$N115),0)</f>
        <v>0</v>
      </c>
      <c r="AP115" s="10">
        <f t="shared" ref="AP115:AP122" si="492">IF($Q115="C", (K115*$N115),0)</f>
        <v>0</v>
      </c>
      <c r="AQ115" s="2">
        <f t="shared" ref="AQ115:AQ122" si="493">IF($Q115="C", (F115*$N115),0)</f>
        <v>0</v>
      </c>
      <c r="AR115" s="73"/>
    </row>
    <row r="116" spans="1:44">
      <c r="A116" s="102" t="s">
        <v>163</v>
      </c>
      <c r="B116" s="40" t="s">
        <v>65</v>
      </c>
      <c r="C116">
        <v>1</v>
      </c>
      <c r="D116" s="40" t="s">
        <v>66</v>
      </c>
      <c r="E116" s="31">
        <v>55</v>
      </c>
      <c r="F116" s="128">
        <f t="shared" si="477"/>
        <v>55</v>
      </c>
      <c r="G116" s="139">
        <v>0</v>
      </c>
      <c r="H116" s="139">
        <v>4</v>
      </c>
      <c r="I116" s="139">
        <v>0</v>
      </c>
      <c r="J116" s="139">
        <v>0</v>
      </c>
      <c r="K116" s="140">
        <v>0</v>
      </c>
      <c r="L116" t="s">
        <v>8</v>
      </c>
      <c r="M116" s="31">
        <f t="shared" si="478"/>
        <v>0</v>
      </c>
      <c r="N116" s="242">
        <v>0</v>
      </c>
      <c r="O116" s="41">
        <f>M116+(N116*F116)</f>
        <v>0</v>
      </c>
      <c r="P116" s="41"/>
      <c r="Q116" s="108" t="s">
        <v>49</v>
      </c>
      <c r="R116" s="179" t="s">
        <v>91</v>
      </c>
      <c r="S116" s="186" t="str">
        <f t="shared" si="480"/>
        <v>CPD2009</v>
      </c>
      <c r="T116" s="186" t="str">
        <f t="shared" si="481"/>
        <v>C5.2.32009</v>
      </c>
      <c r="U116" s="186" t="s">
        <v>324</v>
      </c>
      <c r="V116"/>
      <c r="W116"/>
      <c r="X116"/>
      <c r="Y116"/>
      <c r="Z116"/>
      <c r="AA116" s="85">
        <v>2009</v>
      </c>
      <c r="AB116" s="2">
        <f t="shared" si="482"/>
        <v>0</v>
      </c>
      <c r="AC116" s="2">
        <f t="shared" si="483"/>
        <v>0</v>
      </c>
      <c r="AD116" s="2">
        <f t="shared" si="484"/>
        <v>0</v>
      </c>
      <c r="AE116" s="2">
        <f t="shared" si="485"/>
        <v>0</v>
      </c>
      <c r="AF116" s="2">
        <f t="shared" si="486"/>
        <v>0</v>
      </c>
      <c r="AG116" s="3">
        <f t="shared" si="487"/>
        <v>0</v>
      </c>
      <c r="AH116" s="73"/>
      <c r="AI116" s="2"/>
      <c r="AJ116" s="2"/>
      <c r="AL116" s="80">
        <f t="shared" si="488"/>
        <v>0</v>
      </c>
      <c r="AM116" s="10">
        <f t="shared" si="489"/>
        <v>0</v>
      </c>
      <c r="AN116" s="10">
        <f t="shared" si="490"/>
        <v>0</v>
      </c>
      <c r="AO116" s="10">
        <f t="shared" si="491"/>
        <v>0</v>
      </c>
      <c r="AP116" s="10">
        <f t="shared" si="492"/>
        <v>0</v>
      </c>
      <c r="AQ116" s="2">
        <f t="shared" si="493"/>
        <v>0</v>
      </c>
      <c r="AR116" s="73"/>
    </row>
    <row r="117" spans="1:44">
      <c r="A117" s="102" t="s">
        <v>164</v>
      </c>
      <c r="B117" s="40" t="s">
        <v>65</v>
      </c>
      <c r="C117">
        <v>1</v>
      </c>
      <c r="D117" s="40" t="s">
        <v>66</v>
      </c>
      <c r="E117" s="31">
        <v>55</v>
      </c>
      <c r="F117" s="128">
        <f t="shared" ref="F117:F118" si="494">E117*C117</f>
        <v>55</v>
      </c>
      <c r="G117" s="139">
        <v>0</v>
      </c>
      <c r="H117" s="243">
        <v>8</v>
      </c>
      <c r="I117" s="139">
        <v>0</v>
      </c>
      <c r="J117" s="139">
        <v>2</v>
      </c>
      <c r="K117" s="140">
        <v>0</v>
      </c>
      <c r="L117" t="s">
        <v>8</v>
      </c>
      <c r="M117" s="31">
        <f t="shared" ref="M117:M118" si="495">((Shop*G117)+(M_Tech*H117)+(CMM*I117)+(ENG*J117)+(DES*K117))*N117</f>
        <v>4944</v>
      </c>
      <c r="N117">
        <v>4</v>
      </c>
      <c r="O117" s="41">
        <f t="shared" ref="O117" si="496">M117+(N117*F117)</f>
        <v>5164</v>
      </c>
      <c r="P117" s="41"/>
      <c r="Q117" s="108" t="s">
        <v>48</v>
      </c>
      <c r="R117" s="179" t="s">
        <v>91</v>
      </c>
      <c r="S117" s="186" t="str">
        <f t="shared" ref="S117:S118" si="497">CONCATENATE(Q117,R117,AA117)</f>
        <v>BPD2009</v>
      </c>
      <c r="T117" s="186" t="str">
        <f t="shared" si="481"/>
        <v>B5.2.32009</v>
      </c>
      <c r="U117" s="186" t="s">
        <v>324</v>
      </c>
      <c r="V117"/>
      <c r="W117"/>
      <c r="X117"/>
      <c r="Y117"/>
      <c r="Z117"/>
      <c r="AA117" s="85">
        <v>2009</v>
      </c>
      <c r="AB117" s="2">
        <f t="shared" ref="AB117:AB118" si="498">IF($Q117="B", (G117*$N117),0)</f>
        <v>0</v>
      </c>
      <c r="AC117" s="2">
        <f t="shared" ref="AC117:AC118" si="499">IF($Q117="B", (H117*$N117),0)</f>
        <v>32</v>
      </c>
      <c r="AD117" s="2">
        <f t="shared" ref="AD117:AD118" si="500">IF($Q117="B", (I117*$N117),0)</f>
        <v>0</v>
      </c>
      <c r="AE117" s="2">
        <f t="shared" ref="AE117:AE118" si="501">IF($Q117="B", (J117*$N117),0)</f>
        <v>8</v>
      </c>
      <c r="AF117" s="2">
        <f t="shared" ref="AF117:AF118" si="502">IF($Q117="B", (K117*$N117),0)</f>
        <v>0</v>
      </c>
      <c r="AG117" s="3">
        <f t="shared" ref="AG117:AG118" si="503">IF($Q117="B", (F117*$N117),0)</f>
        <v>220</v>
      </c>
      <c r="AH117" s="73"/>
      <c r="AI117" s="2"/>
      <c r="AJ117" s="2"/>
      <c r="AL117" s="80">
        <f t="shared" ref="AL117:AL118" si="504">IF($Q117="C", (G117*$N117),0)</f>
        <v>0</v>
      </c>
      <c r="AM117" s="10">
        <f t="shared" ref="AM117:AM118" si="505">IF($Q117="C", (H117*$N117),0)</f>
        <v>0</v>
      </c>
      <c r="AN117" s="10">
        <f t="shared" ref="AN117:AN118" si="506">IF($Q117="C", (I117*$N117),0)</f>
        <v>0</v>
      </c>
      <c r="AO117" s="10">
        <f t="shared" ref="AO117:AO118" si="507">IF($Q117="C", (J117*$N117),0)</f>
        <v>0</v>
      </c>
      <c r="AP117" s="10">
        <f t="shared" ref="AP117:AP118" si="508">IF($Q117="C", (K117*$N117),0)</f>
        <v>0</v>
      </c>
      <c r="AQ117" s="2">
        <f t="shared" ref="AQ117:AQ118" si="509">IF($Q117="C", (F117*$N117),0)</f>
        <v>0</v>
      </c>
      <c r="AR117" s="73"/>
    </row>
    <row r="118" spans="1:44">
      <c r="A118" s="102" t="s">
        <v>165</v>
      </c>
      <c r="B118" s="40" t="s">
        <v>65</v>
      </c>
      <c r="C118">
        <v>1</v>
      </c>
      <c r="D118" s="40" t="s">
        <v>66</v>
      </c>
      <c r="E118" s="31">
        <v>55</v>
      </c>
      <c r="F118" s="128">
        <f t="shared" si="494"/>
        <v>55</v>
      </c>
      <c r="G118" s="139">
        <v>0</v>
      </c>
      <c r="H118" s="243">
        <v>8</v>
      </c>
      <c r="I118" s="139">
        <v>0</v>
      </c>
      <c r="J118" s="139">
        <v>0</v>
      </c>
      <c r="K118" s="140">
        <v>0</v>
      </c>
      <c r="L118" t="s">
        <v>8</v>
      </c>
      <c r="M118" s="31">
        <f t="shared" si="495"/>
        <v>936</v>
      </c>
      <c r="N118">
        <v>1</v>
      </c>
      <c r="O118" s="41">
        <f>M118+(N118*F118)</f>
        <v>991</v>
      </c>
      <c r="P118" s="41"/>
      <c r="Q118" s="108" t="s">
        <v>49</v>
      </c>
      <c r="R118" s="179" t="s">
        <v>91</v>
      </c>
      <c r="S118" s="186" t="str">
        <f t="shared" si="497"/>
        <v>CPD2009</v>
      </c>
      <c r="T118" s="186" t="str">
        <f t="shared" si="481"/>
        <v>C5.2.32009</v>
      </c>
      <c r="U118" s="186" t="s">
        <v>324</v>
      </c>
      <c r="V118"/>
      <c r="W118"/>
      <c r="X118"/>
      <c r="Y118"/>
      <c r="Z118"/>
      <c r="AA118" s="85">
        <v>2009</v>
      </c>
      <c r="AB118" s="2">
        <f t="shared" si="498"/>
        <v>0</v>
      </c>
      <c r="AC118" s="2">
        <f t="shared" si="499"/>
        <v>0</v>
      </c>
      <c r="AD118" s="2">
        <f t="shared" si="500"/>
        <v>0</v>
      </c>
      <c r="AE118" s="2">
        <f t="shared" si="501"/>
        <v>0</v>
      </c>
      <c r="AF118" s="2">
        <f t="shared" si="502"/>
        <v>0</v>
      </c>
      <c r="AG118" s="3">
        <f t="shared" si="503"/>
        <v>0</v>
      </c>
      <c r="AH118" s="73"/>
      <c r="AI118" s="2"/>
      <c r="AJ118" s="2"/>
      <c r="AL118" s="80">
        <f t="shared" si="504"/>
        <v>0</v>
      </c>
      <c r="AM118" s="10">
        <f t="shared" si="505"/>
        <v>8</v>
      </c>
      <c r="AN118" s="10">
        <f t="shared" si="506"/>
        <v>0</v>
      </c>
      <c r="AO118" s="10">
        <f t="shared" si="507"/>
        <v>0</v>
      </c>
      <c r="AP118" s="10">
        <f t="shared" si="508"/>
        <v>0</v>
      </c>
      <c r="AQ118" s="2">
        <f t="shared" si="509"/>
        <v>55</v>
      </c>
      <c r="AR118" s="73"/>
    </row>
    <row r="119" spans="1:44">
      <c r="A119" s="102" t="s">
        <v>166</v>
      </c>
      <c r="B119" s="40" t="s">
        <v>65</v>
      </c>
      <c r="C119">
        <v>1</v>
      </c>
      <c r="D119" s="40" t="s">
        <v>66</v>
      </c>
      <c r="E119" s="31">
        <v>55</v>
      </c>
      <c r="F119" s="128">
        <f t="shared" si="477"/>
        <v>55</v>
      </c>
      <c r="G119" s="139">
        <v>4</v>
      </c>
      <c r="H119" s="139">
        <v>4</v>
      </c>
      <c r="I119" s="139">
        <v>0</v>
      </c>
      <c r="J119" s="139">
        <v>2</v>
      </c>
      <c r="K119" s="140">
        <v>0</v>
      </c>
      <c r="L119" t="s">
        <v>8</v>
      </c>
      <c r="M119" s="31">
        <f t="shared" si="478"/>
        <v>0</v>
      </c>
      <c r="N119" s="242">
        <v>0</v>
      </c>
      <c r="O119" s="41">
        <f>M119+(N119*F119)</f>
        <v>0</v>
      </c>
      <c r="P119" s="41"/>
      <c r="Q119" s="108" t="s">
        <v>48</v>
      </c>
      <c r="R119" s="179" t="s">
        <v>91</v>
      </c>
      <c r="S119" s="186" t="str">
        <f t="shared" si="480"/>
        <v>BPD2009</v>
      </c>
      <c r="T119" s="186" t="str">
        <f t="shared" si="481"/>
        <v>B5.2.32009</v>
      </c>
      <c r="U119" s="186" t="s">
        <v>324</v>
      </c>
      <c r="V119"/>
      <c r="W119"/>
      <c r="X119"/>
      <c r="Y119"/>
      <c r="Z119"/>
      <c r="AA119" s="85">
        <v>2009</v>
      </c>
      <c r="AB119" s="2">
        <f t="shared" si="482"/>
        <v>0</v>
      </c>
      <c r="AC119" s="2">
        <f t="shared" si="483"/>
        <v>0</v>
      </c>
      <c r="AD119" s="2">
        <f t="shared" si="484"/>
        <v>0</v>
      </c>
      <c r="AE119" s="2">
        <f t="shared" si="485"/>
        <v>0</v>
      </c>
      <c r="AF119" s="2">
        <f t="shared" si="486"/>
        <v>0</v>
      </c>
      <c r="AG119" s="3">
        <f t="shared" si="487"/>
        <v>0</v>
      </c>
      <c r="AH119" s="73"/>
      <c r="AI119" s="2"/>
      <c r="AJ119" s="2"/>
      <c r="AL119" s="80">
        <f t="shared" si="488"/>
        <v>0</v>
      </c>
      <c r="AM119" s="10">
        <f t="shared" si="489"/>
        <v>0</v>
      </c>
      <c r="AN119" s="10">
        <f t="shared" si="490"/>
        <v>0</v>
      </c>
      <c r="AO119" s="10">
        <f t="shared" si="491"/>
        <v>0</v>
      </c>
      <c r="AP119" s="10">
        <f t="shared" si="492"/>
        <v>0</v>
      </c>
      <c r="AQ119" s="2">
        <f t="shared" si="493"/>
        <v>0</v>
      </c>
      <c r="AR119" s="73"/>
    </row>
    <row r="120" spans="1:44">
      <c r="A120" s="102" t="s">
        <v>167</v>
      </c>
      <c r="B120" s="40" t="s">
        <v>65</v>
      </c>
      <c r="C120">
        <v>1</v>
      </c>
      <c r="D120" s="40" t="s">
        <v>66</v>
      </c>
      <c r="E120" s="31">
        <v>55</v>
      </c>
      <c r="F120" s="128">
        <f t="shared" ref="F120" si="510">E120*C120</f>
        <v>55</v>
      </c>
      <c r="G120" s="139">
        <v>4</v>
      </c>
      <c r="H120" s="139">
        <v>4</v>
      </c>
      <c r="I120" s="139">
        <v>0</v>
      </c>
      <c r="J120" s="139">
        <v>0</v>
      </c>
      <c r="K120" s="140">
        <v>0</v>
      </c>
      <c r="L120" t="s">
        <v>8</v>
      </c>
      <c r="M120" s="31">
        <f t="shared" ref="M120" si="511">((Shop*G120)+(M_Tech*H120)+(CMM*I120)+(ENG*J120)+(DES*K120))*N120</f>
        <v>0</v>
      </c>
      <c r="N120" s="242">
        <v>0</v>
      </c>
      <c r="O120" s="41">
        <f>M120+(N120*F120)</f>
        <v>0</v>
      </c>
      <c r="P120" s="41"/>
      <c r="Q120" s="108" t="s">
        <v>49</v>
      </c>
      <c r="R120" s="179" t="s">
        <v>91</v>
      </c>
      <c r="S120" s="186" t="str">
        <f t="shared" ref="S120" si="512">CONCATENATE(Q120,R120,AA120)</f>
        <v>CPD2009</v>
      </c>
      <c r="T120" s="186" t="str">
        <f t="shared" si="481"/>
        <v>C5.2.32009</v>
      </c>
      <c r="U120" s="186" t="s">
        <v>324</v>
      </c>
      <c r="V120"/>
      <c r="W120"/>
      <c r="X120"/>
      <c r="Y120"/>
      <c r="Z120"/>
      <c r="AA120" s="85">
        <v>2009</v>
      </c>
      <c r="AB120" s="2">
        <f t="shared" ref="AB120" si="513">IF($Q120="B", (G120*$N120),0)</f>
        <v>0</v>
      </c>
      <c r="AC120" s="2">
        <f t="shared" ref="AC120" si="514">IF($Q120="B", (H120*$N120),0)</f>
        <v>0</v>
      </c>
      <c r="AD120" s="2">
        <f t="shared" ref="AD120" si="515">IF($Q120="B", (I120*$N120),0)</f>
        <v>0</v>
      </c>
      <c r="AE120" s="2">
        <f t="shared" ref="AE120" si="516">IF($Q120="B", (J120*$N120),0)</f>
        <v>0</v>
      </c>
      <c r="AF120" s="2">
        <f t="shared" ref="AF120" si="517">IF($Q120="B", (K120*$N120),0)</f>
        <v>0</v>
      </c>
      <c r="AG120" s="3">
        <f t="shared" ref="AG120" si="518">IF($Q120="B", (F120*$N120),0)</f>
        <v>0</v>
      </c>
      <c r="AH120" s="73"/>
      <c r="AI120" s="2"/>
      <c r="AJ120" s="2"/>
      <c r="AL120" s="80">
        <f t="shared" ref="AL120" si="519">IF($Q120="C", (G120*$N120),0)</f>
        <v>0</v>
      </c>
      <c r="AM120" s="10">
        <f t="shared" ref="AM120" si="520">IF($Q120="C", (H120*$N120),0)</f>
        <v>0</v>
      </c>
      <c r="AN120" s="10">
        <f t="shared" ref="AN120" si="521">IF($Q120="C", (I120*$N120),0)</f>
        <v>0</v>
      </c>
      <c r="AO120" s="10">
        <f t="shared" ref="AO120" si="522">IF($Q120="C", (J120*$N120),0)</f>
        <v>0</v>
      </c>
      <c r="AP120" s="10">
        <f t="shared" ref="AP120" si="523">IF($Q120="C", (K120*$N120),0)</f>
        <v>0</v>
      </c>
      <c r="AQ120" s="2">
        <f t="shared" ref="AQ120" si="524">IF($Q120="C", (F120*$N120),0)</f>
        <v>0</v>
      </c>
      <c r="AR120" s="73"/>
    </row>
    <row r="121" spans="1:44">
      <c r="A121" s="102" t="s">
        <v>168</v>
      </c>
      <c r="B121" s="40" t="s">
        <v>34</v>
      </c>
      <c r="C121">
        <v>0</v>
      </c>
      <c r="D121" s="40" t="s">
        <v>9</v>
      </c>
      <c r="E121" s="31">
        <v>0</v>
      </c>
      <c r="F121" s="128">
        <f t="shared" si="477"/>
        <v>0</v>
      </c>
      <c r="G121" s="139">
        <v>0</v>
      </c>
      <c r="H121" s="139">
        <v>4</v>
      </c>
      <c r="I121" s="139">
        <v>0</v>
      </c>
      <c r="J121" s="139">
        <v>4</v>
      </c>
      <c r="K121" s="140">
        <v>0</v>
      </c>
      <c r="L121" t="s">
        <v>8</v>
      </c>
      <c r="M121" s="31">
        <f t="shared" si="478"/>
        <v>0</v>
      </c>
      <c r="N121" s="242">
        <v>0</v>
      </c>
      <c r="O121" s="41">
        <f t="shared" ref="O121:O122" si="525">M121+(N121*F121)</f>
        <v>0</v>
      </c>
      <c r="P121" s="41"/>
      <c r="Q121" s="108" t="s">
        <v>48</v>
      </c>
      <c r="R121" s="179" t="s">
        <v>91</v>
      </c>
      <c r="S121" s="186" t="str">
        <f t="shared" si="480"/>
        <v>BPD2009</v>
      </c>
      <c r="T121" s="186" t="str">
        <f t="shared" si="481"/>
        <v>B5.2.32009</v>
      </c>
      <c r="U121" s="186" t="s">
        <v>324</v>
      </c>
      <c r="V121"/>
      <c r="W121"/>
      <c r="X121"/>
      <c r="Y121"/>
      <c r="Z121"/>
      <c r="AA121" s="85">
        <v>2009</v>
      </c>
      <c r="AB121" s="2">
        <f t="shared" si="482"/>
        <v>0</v>
      </c>
      <c r="AC121" s="2">
        <f t="shared" si="483"/>
        <v>0</v>
      </c>
      <c r="AD121" s="2">
        <f t="shared" si="484"/>
        <v>0</v>
      </c>
      <c r="AE121" s="2">
        <f t="shared" si="485"/>
        <v>0</v>
      </c>
      <c r="AF121" s="2">
        <f t="shared" si="486"/>
        <v>0</v>
      </c>
      <c r="AG121" s="3">
        <f t="shared" si="487"/>
        <v>0</v>
      </c>
      <c r="AH121" s="73"/>
      <c r="AI121" s="2"/>
      <c r="AJ121" s="2"/>
      <c r="AL121" s="80">
        <f t="shared" si="488"/>
        <v>0</v>
      </c>
      <c r="AM121" s="10">
        <f t="shared" si="489"/>
        <v>0</v>
      </c>
      <c r="AN121" s="10">
        <f t="shared" si="490"/>
        <v>0</v>
      </c>
      <c r="AO121" s="10">
        <f t="shared" si="491"/>
        <v>0</v>
      </c>
      <c r="AP121" s="10">
        <f t="shared" si="492"/>
        <v>0</v>
      </c>
      <c r="AQ121" s="2">
        <f t="shared" si="493"/>
        <v>0</v>
      </c>
      <c r="AR121" s="73"/>
    </row>
    <row r="122" spans="1:44">
      <c r="A122" s="102" t="s">
        <v>169</v>
      </c>
      <c r="B122" s="40" t="s">
        <v>34</v>
      </c>
      <c r="C122">
        <v>0</v>
      </c>
      <c r="D122" s="40" t="s">
        <v>9</v>
      </c>
      <c r="E122" s="31">
        <v>0</v>
      </c>
      <c r="F122" s="128">
        <f t="shared" si="477"/>
        <v>0</v>
      </c>
      <c r="G122" s="139">
        <v>0</v>
      </c>
      <c r="H122" s="139">
        <v>4</v>
      </c>
      <c r="I122" s="139">
        <v>0</v>
      </c>
      <c r="J122" s="139">
        <v>0</v>
      </c>
      <c r="K122" s="140">
        <v>0</v>
      </c>
      <c r="L122" t="s">
        <v>8</v>
      </c>
      <c r="M122" s="31">
        <f t="shared" si="478"/>
        <v>0</v>
      </c>
      <c r="N122" s="242">
        <v>0</v>
      </c>
      <c r="O122" s="41">
        <f t="shared" si="525"/>
        <v>0</v>
      </c>
      <c r="P122" s="41"/>
      <c r="Q122" s="108" t="s">
        <v>49</v>
      </c>
      <c r="R122" s="179" t="s">
        <v>91</v>
      </c>
      <c r="S122" s="186" t="str">
        <f t="shared" si="480"/>
        <v>CPD2009</v>
      </c>
      <c r="T122" s="186" t="str">
        <f t="shared" si="481"/>
        <v>C5.2.32009</v>
      </c>
      <c r="U122" s="186" t="s">
        <v>324</v>
      </c>
      <c r="V122"/>
      <c r="W122"/>
      <c r="X122"/>
      <c r="Y122"/>
      <c r="Z122"/>
      <c r="AA122" s="85">
        <v>2009</v>
      </c>
      <c r="AB122" s="2">
        <f t="shared" si="482"/>
        <v>0</v>
      </c>
      <c r="AC122" s="2">
        <f t="shared" si="483"/>
        <v>0</v>
      </c>
      <c r="AD122" s="2">
        <f t="shared" si="484"/>
        <v>0</v>
      </c>
      <c r="AE122" s="2">
        <f t="shared" si="485"/>
        <v>0</v>
      </c>
      <c r="AF122" s="2">
        <f t="shared" si="486"/>
        <v>0</v>
      </c>
      <c r="AG122" s="3">
        <f t="shared" si="487"/>
        <v>0</v>
      </c>
      <c r="AH122" s="73"/>
      <c r="AI122" s="2"/>
      <c r="AJ122" s="2"/>
      <c r="AL122" s="80">
        <f t="shared" si="488"/>
        <v>0</v>
      </c>
      <c r="AM122" s="10">
        <f t="shared" si="489"/>
        <v>0</v>
      </c>
      <c r="AN122" s="10">
        <f t="shared" si="490"/>
        <v>0</v>
      </c>
      <c r="AO122" s="10">
        <f t="shared" si="491"/>
        <v>0</v>
      </c>
      <c r="AP122" s="10">
        <f t="shared" si="492"/>
        <v>0</v>
      </c>
      <c r="AQ122" s="2">
        <f t="shared" si="493"/>
        <v>0</v>
      </c>
      <c r="AR122" s="73"/>
    </row>
    <row r="123" spans="1:44">
      <c r="A123" s="102" t="s">
        <v>170</v>
      </c>
      <c r="B123" s="40" t="s">
        <v>34</v>
      </c>
      <c r="C123">
        <v>0</v>
      </c>
      <c r="D123" s="40" t="s">
        <v>9</v>
      </c>
      <c r="E123" s="31">
        <v>0</v>
      </c>
      <c r="F123" s="128">
        <f>E123*C123</f>
        <v>0</v>
      </c>
      <c r="G123" s="243">
        <v>10</v>
      </c>
      <c r="H123" s="139">
        <v>0</v>
      </c>
      <c r="I123" s="139">
        <v>0</v>
      </c>
      <c r="J123" s="139">
        <v>4</v>
      </c>
      <c r="K123" s="140">
        <v>0</v>
      </c>
      <c r="L123" t="s">
        <v>8</v>
      </c>
      <c r="M123" s="31">
        <f>((Shop*G123)+(M_Tech*H123)+(CMM*I123)+(ENG*J123)+(DES*K123))*N123</f>
        <v>7480</v>
      </c>
      <c r="N123">
        <v>4</v>
      </c>
      <c r="O123" s="41">
        <f>M123+(N123*F123)</f>
        <v>7480</v>
      </c>
      <c r="P123" s="41"/>
      <c r="Q123" s="108" t="s">
        <v>48</v>
      </c>
      <c r="R123" s="179" t="s">
        <v>91</v>
      </c>
      <c r="S123" s="186" t="str">
        <f t="shared" ref="S123:S124" si="526">CONCATENATE(Q123,R123,AA123)</f>
        <v>BPD2009</v>
      </c>
      <c r="T123" s="186" t="str">
        <f t="shared" si="481"/>
        <v>B5.2.32009</v>
      </c>
      <c r="U123" s="186" t="s">
        <v>324</v>
      </c>
      <c r="V123"/>
      <c r="W123"/>
      <c r="X123"/>
      <c r="Y123"/>
      <c r="Z123"/>
      <c r="AA123" s="85">
        <v>2009</v>
      </c>
      <c r="AB123" s="2">
        <f t="shared" ref="AB123:AB124" si="527">IF($Q123="B", (G123*$N123),0)</f>
        <v>40</v>
      </c>
      <c r="AC123" s="2">
        <f t="shared" ref="AC123:AC124" si="528">IF($Q123="B", (H123*$N123),0)</f>
        <v>0</v>
      </c>
      <c r="AD123" s="2">
        <f t="shared" ref="AD123:AD124" si="529">IF($Q123="B", (I123*$N123),0)</f>
        <v>0</v>
      </c>
      <c r="AE123" s="2">
        <f t="shared" ref="AE123:AE124" si="530">IF($Q123="B", (J123*$N123),0)</f>
        <v>16</v>
      </c>
      <c r="AF123" s="2">
        <f t="shared" ref="AF123:AF124" si="531">IF($Q123="B", (K123*$N123),0)</f>
        <v>0</v>
      </c>
      <c r="AG123" s="3">
        <f t="shared" ref="AG123:AG124" si="532">IF($Q123="B", (F123*$N123),0)</f>
        <v>0</v>
      </c>
      <c r="AH123" s="73"/>
      <c r="AI123" s="2"/>
      <c r="AJ123" s="2"/>
      <c r="AL123" s="80">
        <f t="shared" ref="AL123:AL124" si="533">IF($Q123="C", (G123*$N123),0)</f>
        <v>0</v>
      </c>
      <c r="AM123" s="10">
        <f t="shared" ref="AM123:AM124" si="534">IF($Q123="C", (H123*$N123),0)</f>
        <v>0</v>
      </c>
      <c r="AN123" s="10">
        <f t="shared" ref="AN123:AN124" si="535">IF($Q123="C", (I123*$N123),0)</f>
        <v>0</v>
      </c>
      <c r="AO123" s="10">
        <f t="shared" ref="AO123:AO124" si="536">IF($Q123="C", (J123*$N123),0)</f>
        <v>0</v>
      </c>
      <c r="AP123" s="10">
        <f t="shared" ref="AP123:AP124" si="537">IF($Q123="C", (K123*$N123),0)</f>
        <v>0</v>
      </c>
      <c r="AQ123" s="2">
        <f t="shared" ref="AQ123:AQ124" si="538">IF($Q123="C", (F123*$N123),0)</f>
        <v>0</v>
      </c>
      <c r="AR123" s="73"/>
    </row>
    <row r="124" spans="1:44">
      <c r="A124" s="102" t="s">
        <v>171</v>
      </c>
      <c r="B124" s="40" t="s">
        <v>34</v>
      </c>
      <c r="C124">
        <v>0</v>
      </c>
      <c r="D124" s="40" t="s">
        <v>9</v>
      </c>
      <c r="E124" s="31">
        <v>0</v>
      </c>
      <c r="F124" s="128">
        <f>E124*C124</f>
        <v>0</v>
      </c>
      <c r="G124" s="243">
        <v>16</v>
      </c>
      <c r="H124" s="139">
        <v>0</v>
      </c>
      <c r="I124" s="139">
        <v>0</v>
      </c>
      <c r="J124" s="243">
        <v>4</v>
      </c>
      <c r="K124" s="140">
        <v>0</v>
      </c>
      <c r="L124" t="s">
        <v>8</v>
      </c>
      <c r="M124" s="31">
        <f>((Shop*G124)+(M_Tech*H124)+(CMM*I124)+(ENG*J124)+(DES*K124))*N124</f>
        <v>2632</v>
      </c>
      <c r="N124" s="242">
        <v>1</v>
      </c>
      <c r="O124" s="41">
        <f>M124+(N124*F124)</f>
        <v>2632</v>
      </c>
      <c r="P124" s="41"/>
      <c r="Q124" s="108" t="s">
        <v>49</v>
      </c>
      <c r="R124" s="179" t="s">
        <v>91</v>
      </c>
      <c r="S124" s="186" t="str">
        <f t="shared" si="526"/>
        <v>CPD2009</v>
      </c>
      <c r="T124" s="186" t="str">
        <f t="shared" si="481"/>
        <v>C5.2.32009</v>
      </c>
      <c r="U124" s="186" t="s">
        <v>324</v>
      </c>
      <c r="V124"/>
      <c r="W124"/>
      <c r="X124"/>
      <c r="Y124"/>
      <c r="Z124"/>
      <c r="AA124" s="85">
        <v>2009</v>
      </c>
      <c r="AB124" s="2">
        <f t="shared" si="527"/>
        <v>0</v>
      </c>
      <c r="AC124" s="2">
        <f t="shared" si="528"/>
        <v>0</v>
      </c>
      <c r="AD124" s="2">
        <f t="shared" si="529"/>
        <v>0</v>
      </c>
      <c r="AE124" s="2">
        <f t="shared" si="530"/>
        <v>0</v>
      </c>
      <c r="AF124" s="2">
        <f t="shared" si="531"/>
        <v>0</v>
      </c>
      <c r="AG124" s="3">
        <f t="shared" si="532"/>
        <v>0</v>
      </c>
      <c r="AH124" s="73"/>
      <c r="AI124" s="2"/>
      <c r="AJ124" s="2"/>
      <c r="AL124" s="80">
        <f t="shared" si="533"/>
        <v>16</v>
      </c>
      <c r="AM124" s="10">
        <f t="shared" si="534"/>
        <v>0</v>
      </c>
      <c r="AN124" s="10">
        <f t="shared" si="535"/>
        <v>0</v>
      </c>
      <c r="AO124" s="10">
        <f t="shared" si="536"/>
        <v>4</v>
      </c>
      <c r="AP124" s="10">
        <f t="shared" si="537"/>
        <v>0</v>
      </c>
      <c r="AQ124" s="2">
        <f t="shared" si="538"/>
        <v>0</v>
      </c>
      <c r="AR124" s="73"/>
    </row>
    <row r="125" spans="1:44">
      <c r="A125" s="43" t="s">
        <v>161</v>
      </c>
      <c r="B125" s="7"/>
      <c r="C125" s="7"/>
      <c r="D125" s="7"/>
      <c r="E125" s="9"/>
      <c r="F125" s="8"/>
      <c r="G125" s="141"/>
      <c r="H125" s="141"/>
      <c r="I125" s="141"/>
      <c r="J125" s="141"/>
      <c r="K125" s="142"/>
      <c r="L125" s="7"/>
      <c r="M125" s="9">
        <f>SUMIF(Q97:Q124,"B",M97:M124)</f>
        <v>54112</v>
      </c>
      <c r="N125" s="275" t="s">
        <v>77</v>
      </c>
      <c r="O125" s="276"/>
      <c r="P125" s="277"/>
      <c r="Q125" s="109"/>
      <c r="R125" s="182"/>
      <c r="S125" s="187"/>
      <c r="T125" s="187"/>
      <c r="U125" s="187"/>
      <c r="V125" s="7"/>
      <c r="W125" s="7"/>
      <c r="X125" s="7"/>
      <c r="Y125" s="7"/>
      <c r="Z125" s="7"/>
      <c r="AA125" s="86"/>
      <c r="AB125" s="11">
        <f>SUM(AB73:AB124)</f>
        <v>254</v>
      </c>
      <c r="AC125" s="11">
        <f t="shared" ref="AC125:AF125" si="539">SUM(AC73:AC124)</f>
        <v>236</v>
      </c>
      <c r="AD125" s="11">
        <f t="shared" si="539"/>
        <v>0</v>
      </c>
      <c r="AE125" s="11">
        <f t="shared" si="539"/>
        <v>208</v>
      </c>
      <c r="AF125" s="11">
        <f t="shared" si="539"/>
        <v>0</v>
      </c>
      <c r="AG125" s="9"/>
      <c r="AH125" s="8">
        <f>SUM(AG73:AG124)</f>
        <v>6405</v>
      </c>
      <c r="AI125" s="9">
        <f>(Shop*AB125)+M_Tech*AC125+CMM*AD125+ENG*AE125+DES*AF125+AH125</f>
        <v>97475</v>
      </c>
      <c r="AJ125" s="9"/>
      <c r="AK125" s="8">
        <f>Shop*AL125+M_Tech*AM125+CMM*AN125+ENG*AO125+DES*AP125+AR125</f>
        <v>29209</v>
      </c>
      <c r="AL125" s="11">
        <f>SUM(AL73:AL124)</f>
        <v>76</v>
      </c>
      <c r="AM125" s="11">
        <f t="shared" ref="AM125" si="540">SUM(AM73:AM124)</f>
        <v>72</v>
      </c>
      <c r="AN125" s="11">
        <f t="shared" ref="AN125" si="541">SUM(AN73:AN124)</f>
        <v>0</v>
      </c>
      <c r="AO125" s="11">
        <f t="shared" ref="AO125" si="542">SUM(AO73:AO124)</f>
        <v>60</v>
      </c>
      <c r="AP125" s="11">
        <f t="shared" ref="AP125" si="543">SUM(AP73:AP124)</f>
        <v>0</v>
      </c>
      <c r="AQ125" s="9"/>
      <c r="AR125" s="8">
        <f>SUM(AQ73:AQ124)</f>
        <v>2133</v>
      </c>
    </row>
    <row r="126" spans="1:44">
      <c r="F126" s="128"/>
      <c r="G126" s="139"/>
      <c r="H126" s="139"/>
      <c r="I126" s="139"/>
      <c r="J126" s="139"/>
      <c r="K126" s="140"/>
      <c r="L126" s="169" t="s">
        <v>78</v>
      </c>
      <c r="M126" s="170">
        <f>SUMIF(Q115:Q124,"B",M115:M124)</f>
        <v>12424</v>
      </c>
      <c r="N126" s="171" t="s">
        <v>78</v>
      </c>
      <c r="O126" s="171"/>
      <c r="P126" s="41"/>
      <c r="Q126" s="108"/>
      <c r="R126" s="179"/>
      <c r="S126" s="186"/>
      <c r="T126" s="186"/>
      <c r="U126" s="186"/>
      <c r="V126"/>
      <c r="W126"/>
      <c r="X126"/>
      <c r="Y126"/>
      <c r="Z126"/>
      <c r="AA126" s="85"/>
      <c r="AB126" s="10"/>
      <c r="AC126" s="10"/>
      <c r="AD126" s="10"/>
      <c r="AE126" s="10"/>
      <c r="AF126" s="10"/>
      <c r="AG126" s="3"/>
      <c r="AH126" s="73"/>
      <c r="AI126" s="2"/>
      <c r="AJ126" s="2"/>
      <c r="AL126" s="81"/>
      <c r="AM126" s="2"/>
      <c r="AN126" s="2"/>
      <c r="AO126" s="2"/>
      <c r="AP126" s="2"/>
      <c r="AQ126" s="2"/>
      <c r="AR126" s="73"/>
    </row>
    <row r="127" spans="1:44">
      <c r="F127" s="128"/>
      <c r="G127" s="139"/>
      <c r="H127" s="139"/>
      <c r="I127" s="139"/>
      <c r="J127" s="139"/>
      <c r="K127" s="140"/>
      <c r="M127" s="31"/>
      <c r="N127"/>
      <c r="O127" s="41"/>
      <c r="P127" s="41"/>
      <c r="Q127" s="87"/>
      <c r="R127" s="180"/>
      <c r="S127" s="192"/>
      <c r="T127" s="192"/>
      <c r="U127" s="192"/>
      <c r="V127"/>
      <c r="W127"/>
      <c r="X127"/>
      <c r="Y127"/>
      <c r="Z127"/>
      <c r="AA127" s="88"/>
      <c r="AB127" s="74"/>
      <c r="AC127" s="74"/>
      <c r="AD127" s="74"/>
      <c r="AE127" s="74"/>
      <c r="AF127" s="74"/>
      <c r="AG127" s="75"/>
      <c r="AH127" s="76"/>
      <c r="AI127" s="1"/>
      <c r="AJ127" s="1"/>
      <c r="AL127" s="81"/>
      <c r="AM127" s="2"/>
      <c r="AN127" s="2"/>
      <c r="AO127" s="2"/>
      <c r="AP127" s="2"/>
      <c r="AQ127" s="2"/>
      <c r="AR127" s="73"/>
    </row>
    <row r="128" spans="1:44" ht="15.75">
      <c r="A128" s="105" t="s">
        <v>135</v>
      </c>
      <c r="F128" s="128"/>
      <c r="G128" s="139"/>
      <c r="H128" s="139"/>
      <c r="I128" s="139"/>
      <c r="J128" s="139"/>
      <c r="K128" s="140"/>
      <c r="M128" s="31"/>
      <c r="N128"/>
      <c r="O128" s="41"/>
      <c r="P128" s="41"/>
      <c r="Q128" s="108"/>
      <c r="R128" s="179"/>
      <c r="S128" s="186"/>
      <c r="T128" s="186"/>
      <c r="U128" s="186"/>
      <c r="V128"/>
      <c r="W128"/>
      <c r="X128"/>
      <c r="Y128"/>
      <c r="Z128"/>
      <c r="AA128" s="85"/>
      <c r="AB128" s="10"/>
      <c r="AC128" s="10"/>
      <c r="AD128" s="10"/>
      <c r="AE128" s="10"/>
      <c r="AF128" s="10"/>
      <c r="AG128" s="3"/>
      <c r="AH128" s="73"/>
      <c r="AI128" s="2"/>
      <c r="AJ128" s="2"/>
      <c r="AL128" s="81"/>
      <c r="AM128" s="2"/>
      <c r="AN128" s="2"/>
      <c r="AO128" s="2"/>
      <c r="AP128" s="2"/>
      <c r="AQ128" s="2"/>
      <c r="AR128" s="73"/>
    </row>
    <row r="129" spans="1:44" s="155" customFormat="1">
      <c r="A129" s="103" t="s">
        <v>172</v>
      </c>
      <c r="E129" s="156"/>
      <c r="F129" s="157"/>
      <c r="G129" s="158"/>
      <c r="H129" s="158"/>
      <c r="I129" s="158"/>
      <c r="J129" s="158"/>
      <c r="K129" s="159"/>
      <c r="L129" s="169"/>
      <c r="M129" s="170"/>
      <c r="N129" s="171">
        <v>1</v>
      </c>
      <c r="O129" s="170"/>
      <c r="P129" s="160"/>
      <c r="Q129" s="161"/>
      <c r="R129" s="181"/>
      <c r="S129" s="188"/>
      <c r="T129" s="188"/>
      <c r="U129" s="188"/>
      <c r="V129"/>
      <c r="W129"/>
      <c r="X129"/>
      <c r="Y129"/>
      <c r="Z129"/>
      <c r="AA129" s="162"/>
      <c r="AB129" s="163"/>
      <c r="AC129" s="163"/>
      <c r="AD129" s="163"/>
      <c r="AE129" s="163"/>
      <c r="AF129" s="163"/>
      <c r="AG129" s="164"/>
      <c r="AH129" s="165"/>
      <c r="AI129" s="163"/>
      <c r="AJ129" s="163"/>
      <c r="AK129" s="31"/>
      <c r="AL129" s="166"/>
      <c r="AM129" s="163"/>
      <c r="AN129" s="163"/>
      <c r="AO129" s="163"/>
      <c r="AP129" s="163"/>
      <c r="AQ129" s="163"/>
      <c r="AR129" s="165"/>
    </row>
    <row r="130" spans="1:44" s="38" customFormat="1">
      <c r="A130" s="102" t="s">
        <v>127</v>
      </c>
      <c r="B130" s="40" t="s">
        <v>7</v>
      </c>
      <c r="C130" s="242">
        <v>200</v>
      </c>
      <c r="D130" s="40" t="s">
        <v>40</v>
      </c>
      <c r="E130" s="245">
        <v>12</v>
      </c>
      <c r="F130" s="128">
        <f t="shared" ref="F130:F133" si="544">E130*C130</f>
        <v>2400</v>
      </c>
      <c r="G130" s="139">
        <v>16</v>
      </c>
      <c r="H130" s="139">
        <v>0</v>
      </c>
      <c r="I130" s="139">
        <v>0</v>
      </c>
      <c r="J130" s="243">
        <v>0</v>
      </c>
      <c r="K130" s="140">
        <v>0</v>
      </c>
      <c r="L130" t="s">
        <v>8</v>
      </c>
      <c r="M130" s="31">
        <f t="shared" ref="M130:M133" si="545">((Shop*G130)+(M_Tech*H130)+(CMM*I130)+(ENG*J130)+(DES*K130))*N130</f>
        <v>2032</v>
      </c>
      <c r="N130">
        <v>1</v>
      </c>
      <c r="O130" s="41">
        <f t="shared" ref="O130:O133" si="546">M130+(N130*F130)</f>
        <v>4432</v>
      </c>
      <c r="P130" s="41"/>
      <c r="Q130" s="108" t="s">
        <v>48</v>
      </c>
      <c r="R130" s="179" t="s">
        <v>91</v>
      </c>
      <c r="S130" s="186" t="str">
        <f t="shared" ref="S130:S133" si="547">CONCATENATE(Q130,R130,AA130)</f>
        <v>BPD2009</v>
      </c>
      <c r="T130" s="186" t="str">
        <f t="shared" ref="T130:T133" si="548">CONCATENATE(Q130,U130,AA130)</f>
        <v>B5.2.32009</v>
      </c>
      <c r="U130" s="186" t="s">
        <v>324</v>
      </c>
      <c r="V130"/>
      <c r="W130"/>
      <c r="X130"/>
      <c r="Y130"/>
      <c r="Z130"/>
      <c r="AA130" s="85">
        <v>2009</v>
      </c>
      <c r="AB130" s="2">
        <f t="shared" ref="AB130:AB133" si="549">IF($Q130="B", (G130*$N130),0)</f>
        <v>16</v>
      </c>
      <c r="AC130" s="2">
        <f t="shared" ref="AC130:AC133" si="550">IF($Q130="B", (H130*$N130),0)</f>
        <v>0</v>
      </c>
      <c r="AD130" s="2">
        <f t="shared" ref="AD130:AD133" si="551">IF($Q130="B", (I130*$N130),0)</f>
        <v>0</v>
      </c>
      <c r="AE130" s="2">
        <f t="shared" ref="AE130:AE133" si="552">IF($Q130="B", (J130*$N130),0)</f>
        <v>0</v>
      </c>
      <c r="AF130" s="2">
        <f t="shared" ref="AF130:AF133" si="553">IF($Q130="B", (K130*$N130),0)</f>
        <v>0</v>
      </c>
      <c r="AG130" s="3">
        <f t="shared" ref="AG130:AG133" si="554">IF($Q130="B", (F130*$N130),0)</f>
        <v>2400</v>
      </c>
      <c r="AH130" s="39"/>
      <c r="AI130" s="37"/>
      <c r="AJ130" s="37"/>
      <c r="AK130" s="31"/>
      <c r="AL130" s="80">
        <f t="shared" ref="AL130" si="555">IF($Q130="C", (G130*$N130),0)</f>
        <v>0</v>
      </c>
      <c r="AM130" s="10">
        <f t="shared" ref="AM130" si="556">IF($Q130="C", (H130*$N130),0)</f>
        <v>0</v>
      </c>
      <c r="AN130" s="10">
        <f t="shared" ref="AN130" si="557">IF($Q130="C", (I130*$N130),0)</f>
        <v>0</v>
      </c>
      <c r="AO130" s="10">
        <f t="shared" ref="AO130" si="558">IF($Q130="C", (J130*$N130),0)</f>
        <v>0</v>
      </c>
      <c r="AP130" s="10">
        <f t="shared" ref="AP130" si="559">IF($Q130="C", (K130*$N130),0)</f>
        <v>0</v>
      </c>
      <c r="AQ130" s="2">
        <f t="shared" ref="AQ130" si="560">IF($Q130="C", (F130*$N130),0)</f>
        <v>0</v>
      </c>
      <c r="AR130" s="39"/>
    </row>
    <row r="131" spans="1:44" s="38" customFormat="1">
      <c r="A131" s="102" t="s">
        <v>173</v>
      </c>
      <c r="B131" s="40" t="s">
        <v>7</v>
      </c>
      <c r="C131" s="242">
        <v>60</v>
      </c>
      <c r="D131" s="40" t="s">
        <v>40</v>
      </c>
      <c r="E131" s="31">
        <v>8</v>
      </c>
      <c r="F131" s="128">
        <f t="shared" si="544"/>
        <v>480</v>
      </c>
      <c r="G131" s="243">
        <v>24</v>
      </c>
      <c r="H131" s="139">
        <v>0</v>
      </c>
      <c r="I131" s="139">
        <v>0</v>
      </c>
      <c r="J131" s="139">
        <v>0</v>
      </c>
      <c r="K131" s="140">
        <v>0</v>
      </c>
      <c r="L131" t="s">
        <v>8</v>
      </c>
      <c r="M131" s="31">
        <f t="shared" si="545"/>
        <v>6096</v>
      </c>
      <c r="N131">
        <v>2</v>
      </c>
      <c r="O131" s="41">
        <f t="shared" si="546"/>
        <v>7056</v>
      </c>
      <c r="P131" s="41"/>
      <c r="Q131" s="108" t="s">
        <v>48</v>
      </c>
      <c r="R131" s="179" t="s">
        <v>91</v>
      </c>
      <c r="S131" s="186" t="str">
        <f t="shared" si="547"/>
        <v>BPD2009</v>
      </c>
      <c r="T131" s="186" t="str">
        <f t="shared" si="548"/>
        <v>B5.2.32009</v>
      </c>
      <c r="U131" s="186" t="s">
        <v>324</v>
      </c>
      <c r="V131"/>
      <c r="W131"/>
      <c r="X131"/>
      <c r="Y131"/>
      <c r="Z131"/>
      <c r="AA131" s="85">
        <v>2009</v>
      </c>
      <c r="AB131" s="2">
        <f t="shared" si="549"/>
        <v>48</v>
      </c>
      <c r="AC131" s="2">
        <f t="shared" si="550"/>
        <v>0</v>
      </c>
      <c r="AD131" s="2">
        <f t="shared" si="551"/>
        <v>0</v>
      </c>
      <c r="AE131" s="2">
        <f t="shared" si="552"/>
        <v>0</v>
      </c>
      <c r="AF131" s="2">
        <f t="shared" si="553"/>
        <v>0</v>
      </c>
      <c r="AG131" s="3">
        <f t="shared" si="554"/>
        <v>960</v>
      </c>
      <c r="AH131" s="39"/>
      <c r="AI131" s="37"/>
      <c r="AJ131" s="37"/>
      <c r="AK131" s="31"/>
      <c r="AL131" s="80">
        <f>IF($Q131="C", (G131*$N131),0)</f>
        <v>0</v>
      </c>
      <c r="AM131" s="10">
        <f>IF($Q131="C", (H131*$N131),0)</f>
        <v>0</v>
      </c>
      <c r="AN131" s="10">
        <f>IF($Q131="C", (I131*$N131),0)</f>
        <v>0</v>
      </c>
      <c r="AO131" s="10">
        <f>IF($Q131="C", (J131*$N131),0)</f>
        <v>0</v>
      </c>
      <c r="AP131" s="10">
        <f>IF($Q131="C", (K131*$N131),0)</f>
        <v>0</v>
      </c>
      <c r="AQ131" s="2">
        <f>IF($Q131="C", (F131*$N131),0)</f>
        <v>0</v>
      </c>
      <c r="AR131" s="39"/>
    </row>
    <row r="132" spans="1:44" s="242" customFormat="1">
      <c r="A132" s="244" t="s">
        <v>297</v>
      </c>
      <c r="B132" s="242" t="s">
        <v>34</v>
      </c>
      <c r="C132" s="242">
        <v>0</v>
      </c>
      <c r="D132" s="242" t="s">
        <v>9</v>
      </c>
      <c r="E132" s="245">
        <v>0</v>
      </c>
      <c r="F132" s="246">
        <f>E132*C132</f>
        <v>0</v>
      </c>
      <c r="G132" s="243">
        <v>0</v>
      </c>
      <c r="H132" s="243">
        <v>0</v>
      </c>
      <c r="I132" s="243">
        <v>0</v>
      </c>
      <c r="J132" s="243">
        <v>40</v>
      </c>
      <c r="K132" s="247">
        <v>0</v>
      </c>
      <c r="L132" s="242" t="s">
        <v>8</v>
      </c>
      <c r="M132" s="245">
        <f>((Shop*G132)+(M_Tech*H132)+(CMM*I132)+(ENG*J132)+(DES*K132))*N132</f>
        <v>6000</v>
      </c>
      <c r="N132" s="242">
        <v>1</v>
      </c>
      <c r="O132" s="248">
        <f>M132+(N132*F132)</f>
        <v>6000</v>
      </c>
      <c r="P132" s="248"/>
      <c r="Q132" s="249" t="s">
        <v>48</v>
      </c>
      <c r="R132" s="250" t="s">
        <v>91</v>
      </c>
      <c r="S132" s="251" t="str">
        <f t="shared" si="547"/>
        <v>BPD2009</v>
      </c>
      <c r="T132" s="186" t="str">
        <f t="shared" si="548"/>
        <v>B5.2.32009</v>
      </c>
      <c r="U132" s="186" t="s">
        <v>324</v>
      </c>
      <c r="AA132" s="252">
        <v>2009</v>
      </c>
      <c r="AB132" s="253">
        <f t="shared" si="549"/>
        <v>0</v>
      </c>
      <c r="AC132" s="253">
        <f t="shared" si="550"/>
        <v>0</v>
      </c>
      <c r="AD132" s="253">
        <f t="shared" si="551"/>
        <v>0</v>
      </c>
      <c r="AE132" s="253">
        <f t="shared" si="552"/>
        <v>40</v>
      </c>
      <c r="AF132" s="253">
        <f t="shared" si="553"/>
        <v>0</v>
      </c>
      <c r="AG132" s="254">
        <f>IF($Q132="B", (F132*$N132),0)</f>
        <v>0</v>
      </c>
      <c r="AH132" s="255"/>
      <c r="AI132" s="253"/>
      <c r="AJ132" s="253"/>
      <c r="AK132" s="245"/>
      <c r="AL132" s="256">
        <f t="shared" ref="AL132" si="561">IF($Q132="C", (G132*$N132),0)</f>
        <v>0</v>
      </c>
      <c r="AM132" s="257">
        <f t="shared" ref="AM132" si="562">IF($Q132="C", (H132*$N132),0)</f>
        <v>0</v>
      </c>
      <c r="AN132" s="257">
        <f t="shared" ref="AN132" si="563">IF($Q132="C", (I132*$N132),0)</f>
        <v>0</v>
      </c>
      <c r="AO132" s="257">
        <f t="shared" ref="AO132" si="564">IF($Q132="C", (J132*$N132),0)</f>
        <v>0</v>
      </c>
      <c r="AP132" s="257">
        <f t="shared" ref="AP132" si="565">IF($Q132="C", (K132*$N132),0)</f>
        <v>0</v>
      </c>
      <c r="AQ132" s="253">
        <f>IF($Q132="C", (F132*$N132),0)</f>
        <v>0</v>
      </c>
      <c r="AR132" s="255"/>
    </row>
    <row r="133" spans="1:44" s="38" customFormat="1">
      <c r="A133" s="102" t="s">
        <v>175</v>
      </c>
      <c r="B133" s="40" t="s">
        <v>34</v>
      </c>
      <c r="C133">
        <v>0</v>
      </c>
      <c r="D133" s="40" t="s">
        <v>9</v>
      </c>
      <c r="E133" s="31">
        <v>0</v>
      </c>
      <c r="F133" s="128">
        <f t="shared" si="544"/>
        <v>0</v>
      </c>
      <c r="G133" s="139">
        <v>0</v>
      </c>
      <c r="H133" s="139">
        <v>24</v>
      </c>
      <c r="I133" s="139">
        <v>12</v>
      </c>
      <c r="J133" s="243">
        <v>8</v>
      </c>
      <c r="K133" s="140">
        <v>0</v>
      </c>
      <c r="L133" t="s">
        <v>8</v>
      </c>
      <c r="M133" s="31">
        <f t="shared" si="545"/>
        <v>5532</v>
      </c>
      <c r="N133">
        <v>1</v>
      </c>
      <c r="O133" s="41">
        <f t="shared" si="546"/>
        <v>5532</v>
      </c>
      <c r="P133" s="41"/>
      <c r="Q133" s="108" t="s">
        <v>48</v>
      </c>
      <c r="R133" s="179" t="s">
        <v>91</v>
      </c>
      <c r="S133" s="186" t="str">
        <f t="shared" si="547"/>
        <v>BPD2009</v>
      </c>
      <c r="T133" s="186" t="str">
        <f t="shared" si="548"/>
        <v>B5.2.32009</v>
      </c>
      <c r="U133" s="186" t="s">
        <v>324</v>
      </c>
      <c r="V133"/>
      <c r="W133"/>
      <c r="X133"/>
      <c r="Y133"/>
      <c r="Z133"/>
      <c r="AA133" s="85">
        <v>2009</v>
      </c>
      <c r="AB133" s="2">
        <f t="shared" si="549"/>
        <v>0</v>
      </c>
      <c r="AC133" s="2">
        <f t="shared" si="550"/>
        <v>24</v>
      </c>
      <c r="AD133" s="2">
        <f t="shared" si="551"/>
        <v>12</v>
      </c>
      <c r="AE133" s="2">
        <f t="shared" si="552"/>
        <v>8</v>
      </c>
      <c r="AF133" s="2">
        <f t="shared" si="553"/>
        <v>0</v>
      </c>
      <c r="AG133" s="3">
        <f t="shared" si="554"/>
        <v>0</v>
      </c>
      <c r="AH133" s="39"/>
      <c r="AI133" s="37"/>
      <c r="AJ133" s="37"/>
      <c r="AK133" s="31"/>
      <c r="AL133" s="80">
        <f t="shared" ref="AL133" si="566">IF($Q133="C", (G133*$N133),0)</f>
        <v>0</v>
      </c>
      <c r="AM133" s="10">
        <f t="shared" ref="AM133" si="567">IF($Q133="C", (H133*$N133),0)</f>
        <v>0</v>
      </c>
      <c r="AN133" s="10">
        <f t="shared" ref="AN133" si="568">IF($Q133="C", (I133*$N133),0)</f>
        <v>0</v>
      </c>
      <c r="AO133" s="10">
        <f t="shared" ref="AO133" si="569">IF($Q133="C", (J133*$N133),0)</f>
        <v>0</v>
      </c>
      <c r="AP133" s="10">
        <f t="shared" ref="AP133" si="570">IF($Q133="C", (K133*$N133),0)</f>
        <v>0</v>
      </c>
      <c r="AQ133" s="2">
        <f t="shared" ref="AQ133" si="571">IF($Q133="C", (F133*$N133),0)</f>
        <v>0</v>
      </c>
      <c r="AR133" s="39"/>
    </row>
    <row r="134" spans="1:44" s="155" customFormat="1">
      <c r="A134" s="103" t="s">
        <v>176</v>
      </c>
      <c r="E134" s="156"/>
      <c r="F134" s="157"/>
      <c r="G134" s="158"/>
      <c r="H134" s="158"/>
      <c r="I134" s="158"/>
      <c r="J134" s="158"/>
      <c r="K134" s="159"/>
      <c r="L134" s="169" t="s">
        <v>78</v>
      </c>
      <c r="M134" s="170">
        <f>SUMIF(Q130:Q133,"B",M130:M133)</f>
        <v>19660</v>
      </c>
      <c r="N134" s="171" t="s">
        <v>78</v>
      </c>
      <c r="O134" s="170"/>
      <c r="P134" s="160"/>
      <c r="Q134" s="161"/>
      <c r="R134" s="181"/>
      <c r="S134" s="188"/>
      <c r="T134" s="188"/>
      <c r="U134" s="188"/>
      <c r="V134"/>
      <c r="W134"/>
      <c r="X134"/>
      <c r="Y134"/>
      <c r="Z134"/>
      <c r="AA134" s="85"/>
      <c r="AB134" s="163"/>
      <c r="AC134" s="163"/>
      <c r="AD134" s="163"/>
      <c r="AE134" s="163"/>
      <c r="AF134" s="163"/>
      <c r="AG134" s="164"/>
      <c r="AH134" s="165"/>
      <c r="AI134" s="163"/>
      <c r="AJ134" s="163"/>
      <c r="AK134" s="31"/>
      <c r="AL134" s="166"/>
      <c r="AM134" s="163"/>
      <c r="AN134" s="163"/>
      <c r="AO134" s="163"/>
      <c r="AP134" s="163"/>
      <c r="AQ134" s="163"/>
      <c r="AR134" s="165"/>
    </row>
    <row r="135" spans="1:44" s="38" customFormat="1">
      <c r="A135" s="102" t="s">
        <v>177</v>
      </c>
      <c r="B135" s="40" t="s">
        <v>34</v>
      </c>
      <c r="C135">
        <v>0</v>
      </c>
      <c r="D135" s="40" t="s">
        <v>9</v>
      </c>
      <c r="E135" s="31">
        <v>0</v>
      </c>
      <c r="F135" s="128">
        <f t="shared" ref="F135:F139" si="572">E135*C135</f>
        <v>0</v>
      </c>
      <c r="G135" s="139">
        <v>0</v>
      </c>
      <c r="H135" s="139">
        <v>8</v>
      </c>
      <c r="I135" s="139">
        <v>0</v>
      </c>
      <c r="J135" s="139">
        <v>4</v>
      </c>
      <c r="K135" s="140">
        <v>0</v>
      </c>
      <c r="L135" t="s">
        <v>8</v>
      </c>
      <c r="M135" s="31">
        <f t="shared" ref="M135:M139" si="573">((Shop*G135)+(M_Tech*H135)+(CMM*I135)+(ENG*J135)+(DES*K135))*N135</f>
        <v>0</v>
      </c>
      <c r="N135">
        <v>0</v>
      </c>
      <c r="O135" s="41">
        <f t="shared" ref="O135:O139" si="574">M135+(N135*F135)</f>
        <v>0</v>
      </c>
      <c r="P135" s="41"/>
      <c r="Q135" s="108" t="s">
        <v>48</v>
      </c>
      <c r="R135" s="179" t="s">
        <v>91</v>
      </c>
      <c r="S135" s="186" t="str">
        <f t="shared" ref="S135:S139" si="575">CONCATENATE(Q135,R135,AA135)</f>
        <v>BPD2009</v>
      </c>
      <c r="T135" s="186" t="str">
        <f t="shared" ref="T135:T144" si="576">CONCATENATE(Q135,U135,AA135)</f>
        <v>B5.2.32009</v>
      </c>
      <c r="U135" s="186" t="s">
        <v>324</v>
      </c>
      <c r="V135"/>
      <c r="W135"/>
      <c r="X135"/>
      <c r="Y135"/>
      <c r="Z135"/>
      <c r="AA135" s="85">
        <v>2009</v>
      </c>
      <c r="AB135" s="2">
        <f t="shared" ref="AB135:AB139" si="577">IF($Q135="B", (G135*$N135),0)</f>
        <v>0</v>
      </c>
      <c r="AC135" s="2">
        <f t="shared" ref="AC135:AC139" si="578">IF($Q135="B", (H135*$N135),0)</f>
        <v>0</v>
      </c>
      <c r="AD135" s="2">
        <f t="shared" ref="AD135:AD139" si="579">IF($Q135="B", (I135*$N135),0)</f>
        <v>0</v>
      </c>
      <c r="AE135" s="2">
        <f t="shared" ref="AE135:AE139" si="580">IF($Q135="B", (J135*$N135),0)</f>
        <v>0</v>
      </c>
      <c r="AF135" s="2">
        <f t="shared" ref="AF135:AF139" si="581">IF($Q135="B", (K135*$N135),0)</f>
        <v>0</v>
      </c>
      <c r="AG135" s="3">
        <f t="shared" ref="AG135:AG139" si="582">IF($Q135="B", (F135*$N135),0)</f>
        <v>0</v>
      </c>
      <c r="AH135" s="39"/>
      <c r="AI135" s="37"/>
      <c r="AJ135" s="37"/>
      <c r="AK135" s="31"/>
      <c r="AL135" s="80">
        <f t="shared" ref="AL135" si="583">IF($Q135="C", (G135*$N135),0)</f>
        <v>0</v>
      </c>
      <c r="AM135" s="10">
        <f t="shared" ref="AM135" si="584">IF($Q135="C", (H135*$N135),0)</f>
        <v>0</v>
      </c>
      <c r="AN135" s="10">
        <f t="shared" ref="AN135" si="585">IF($Q135="C", (I135*$N135),0)</f>
        <v>0</v>
      </c>
      <c r="AO135" s="10">
        <f t="shared" ref="AO135" si="586">IF($Q135="C", (J135*$N135),0)</f>
        <v>0</v>
      </c>
      <c r="AP135" s="10">
        <f t="shared" ref="AP135" si="587">IF($Q135="C", (K135*$N135),0)</f>
        <v>0</v>
      </c>
      <c r="AQ135" s="2">
        <f t="shared" ref="AQ135" si="588">IF($Q135="C", (F135*$N135),0)</f>
        <v>0</v>
      </c>
      <c r="AR135" s="39"/>
    </row>
    <row r="136" spans="1:44" s="38" customFormat="1">
      <c r="A136" s="102" t="s">
        <v>178</v>
      </c>
      <c r="B136" s="40" t="s">
        <v>34</v>
      </c>
      <c r="C136">
        <v>0</v>
      </c>
      <c r="D136" s="40" t="s">
        <v>9</v>
      </c>
      <c r="E136" s="31">
        <v>0</v>
      </c>
      <c r="F136" s="128">
        <f t="shared" si="572"/>
        <v>0</v>
      </c>
      <c r="G136" s="139">
        <v>0</v>
      </c>
      <c r="H136" s="139">
        <v>8</v>
      </c>
      <c r="I136" s="139">
        <v>0</v>
      </c>
      <c r="J136" s="139">
        <v>4</v>
      </c>
      <c r="K136" s="140">
        <v>0</v>
      </c>
      <c r="L136" t="s">
        <v>8</v>
      </c>
      <c r="M136" s="31">
        <f t="shared" si="573"/>
        <v>0</v>
      </c>
      <c r="N136">
        <v>0</v>
      </c>
      <c r="O136" s="41">
        <f t="shared" si="574"/>
        <v>0</v>
      </c>
      <c r="P136" s="41"/>
      <c r="Q136" s="108" t="s">
        <v>48</v>
      </c>
      <c r="R136" s="179" t="s">
        <v>91</v>
      </c>
      <c r="S136" s="186" t="str">
        <f t="shared" si="575"/>
        <v>BPD2009</v>
      </c>
      <c r="T136" s="186" t="str">
        <f t="shared" si="576"/>
        <v>B5.2.32009</v>
      </c>
      <c r="U136" s="186" t="s">
        <v>324</v>
      </c>
      <c r="V136"/>
      <c r="W136"/>
      <c r="X136"/>
      <c r="Y136"/>
      <c r="Z136"/>
      <c r="AA136" s="85">
        <v>2009</v>
      </c>
      <c r="AB136" s="2">
        <f t="shared" si="577"/>
        <v>0</v>
      </c>
      <c r="AC136" s="2">
        <f t="shared" si="578"/>
        <v>0</v>
      </c>
      <c r="AD136" s="2">
        <f t="shared" si="579"/>
        <v>0</v>
      </c>
      <c r="AE136" s="2">
        <f t="shared" si="580"/>
        <v>0</v>
      </c>
      <c r="AF136" s="2">
        <f t="shared" si="581"/>
        <v>0</v>
      </c>
      <c r="AG136" s="3">
        <f t="shared" si="582"/>
        <v>0</v>
      </c>
      <c r="AH136" s="39"/>
      <c r="AI136" s="37"/>
      <c r="AJ136" s="37"/>
      <c r="AK136" s="31"/>
      <c r="AL136" s="80">
        <f>IF($Q136="C", (G136*$N136),0)</f>
        <v>0</v>
      </c>
      <c r="AM136" s="10">
        <f>IF($Q136="C", (H136*$N136),0)</f>
        <v>0</v>
      </c>
      <c r="AN136" s="10">
        <f>IF($Q136="C", (I136*$N136),0)</f>
        <v>0</v>
      </c>
      <c r="AO136" s="10">
        <f>IF($Q136="C", (J136*$N136),0)</f>
        <v>0</v>
      </c>
      <c r="AP136" s="10">
        <f>IF($Q136="C", (K136*$N136),0)</f>
        <v>0</v>
      </c>
      <c r="AQ136" s="2">
        <f>IF($Q136="C", (F136*$N136),0)</f>
        <v>0</v>
      </c>
      <c r="AR136" s="39"/>
    </row>
    <row r="137" spans="1:44" s="38" customFormat="1">
      <c r="A137" s="102" t="s">
        <v>179</v>
      </c>
      <c r="B137" s="40" t="s">
        <v>34</v>
      </c>
      <c r="C137">
        <v>0</v>
      </c>
      <c r="D137" s="40" t="s">
        <v>9</v>
      </c>
      <c r="E137" s="31">
        <v>0</v>
      </c>
      <c r="F137" s="128">
        <f t="shared" si="572"/>
        <v>0</v>
      </c>
      <c r="G137" s="139">
        <v>0</v>
      </c>
      <c r="H137" s="243">
        <v>32</v>
      </c>
      <c r="I137" s="139">
        <v>0</v>
      </c>
      <c r="J137" s="168">
        <v>8</v>
      </c>
      <c r="K137" s="140">
        <v>0</v>
      </c>
      <c r="L137" t="s">
        <v>8</v>
      </c>
      <c r="M137" s="31">
        <f t="shared" si="573"/>
        <v>9888</v>
      </c>
      <c r="N137">
        <v>2</v>
      </c>
      <c r="O137" s="41">
        <f t="shared" si="574"/>
        <v>9888</v>
      </c>
      <c r="P137" s="41"/>
      <c r="Q137" s="108" t="s">
        <v>48</v>
      </c>
      <c r="R137" s="179" t="s">
        <v>91</v>
      </c>
      <c r="S137" s="186" t="str">
        <f t="shared" si="575"/>
        <v>BPD2009</v>
      </c>
      <c r="T137" s="186" t="str">
        <f t="shared" si="576"/>
        <v>B5.2.32009</v>
      </c>
      <c r="U137" s="186" t="s">
        <v>324</v>
      </c>
      <c r="V137"/>
      <c r="W137"/>
      <c r="X137"/>
      <c r="Y137"/>
      <c r="Z137"/>
      <c r="AA137" s="85">
        <v>2009</v>
      </c>
      <c r="AB137" s="2">
        <f t="shared" si="577"/>
        <v>0</v>
      </c>
      <c r="AC137" s="2">
        <f t="shared" si="578"/>
        <v>64</v>
      </c>
      <c r="AD137" s="2">
        <f t="shared" si="579"/>
        <v>0</v>
      </c>
      <c r="AE137" s="2">
        <f t="shared" si="580"/>
        <v>16</v>
      </c>
      <c r="AF137" s="2">
        <f t="shared" si="581"/>
        <v>0</v>
      </c>
      <c r="AG137" s="3">
        <f t="shared" si="582"/>
        <v>0</v>
      </c>
      <c r="AH137" s="39"/>
      <c r="AI137" s="37"/>
      <c r="AJ137" s="37"/>
      <c r="AK137" s="31"/>
      <c r="AL137" s="80">
        <f t="shared" ref="AL137:AL140" si="589">IF($Q137="C", (G137*$N137),0)</f>
        <v>0</v>
      </c>
      <c r="AM137" s="10">
        <f t="shared" ref="AM137:AM140" si="590">IF($Q137="C", (H137*$N137),0)</f>
        <v>0</v>
      </c>
      <c r="AN137" s="10">
        <f t="shared" ref="AN137:AN140" si="591">IF($Q137="C", (I137*$N137),0)</f>
        <v>0</v>
      </c>
      <c r="AO137" s="10">
        <f t="shared" ref="AO137:AO140" si="592">IF($Q137="C", (J137*$N137),0)</f>
        <v>0</v>
      </c>
      <c r="AP137" s="10">
        <f t="shared" ref="AP137:AP140" si="593">IF($Q137="C", (K137*$N137),0)</f>
        <v>0</v>
      </c>
      <c r="AQ137" s="2">
        <f t="shared" ref="AQ137:AQ140" si="594">IF($Q137="C", (F137*$N137),0)</f>
        <v>0</v>
      </c>
      <c r="AR137" s="39"/>
    </row>
    <row r="138" spans="1:44" s="38" customFormat="1">
      <c r="A138" s="102" t="s">
        <v>180</v>
      </c>
      <c r="B138" s="40" t="s">
        <v>34</v>
      </c>
      <c r="C138">
        <v>0</v>
      </c>
      <c r="D138" s="40" t="s">
        <v>9</v>
      </c>
      <c r="E138" s="31">
        <v>0</v>
      </c>
      <c r="F138" s="128">
        <f t="shared" si="572"/>
        <v>0</v>
      </c>
      <c r="G138" s="139">
        <v>0</v>
      </c>
      <c r="H138" s="243">
        <v>8</v>
      </c>
      <c r="I138" s="243">
        <v>40</v>
      </c>
      <c r="J138" s="243">
        <v>4</v>
      </c>
      <c r="K138" s="140">
        <v>0</v>
      </c>
      <c r="L138" t="s">
        <v>8</v>
      </c>
      <c r="M138" s="31">
        <f t="shared" si="573"/>
        <v>13232</v>
      </c>
      <c r="N138">
        <v>2</v>
      </c>
      <c r="O138" s="41">
        <f t="shared" si="574"/>
        <v>13232</v>
      </c>
      <c r="P138" s="41"/>
      <c r="Q138" s="108" t="s">
        <v>48</v>
      </c>
      <c r="R138" s="179" t="s">
        <v>91</v>
      </c>
      <c r="S138" s="186" t="str">
        <f t="shared" si="575"/>
        <v>BPD2009</v>
      </c>
      <c r="T138" s="186" t="str">
        <f t="shared" si="576"/>
        <v>B5.2.32009</v>
      </c>
      <c r="U138" s="186" t="s">
        <v>324</v>
      </c>
      <c r="V138"/>
      <c r="W138"/>
      <c r="X138"/>
      <c r="Y138"/>
      <c r="Z138"/>
      <c r="AA138" s="85">
        <v>2009</v>
      </c>
      <c r="AB138" s="2">
        <f t="shared" si="577"/>
        <v>0</v>
      </c>
      <c r="AC138" s="2">
        <f t="shared" si="578"/>
        <v>16</v>
      </c>
      <c r="AD138" s="2">
        <f t="shared" si="579"/>
        <v>80</v>
      </c>
      <c r="AE138" s="2">
        <f t="shared" si="580"/>
        <v>8</v>
      </c>
      <c r="AF138" s="2">
        <f t="shared" si="581"/>
        <v>0</v>
      </c>
      <c r="AG138" s="3">
        <f t="shared" si="582"/>
        <v>0</v>
      </c>
      <c r="AH138" s="39"/>
      <c r="AI138" s="37"/>
      <c r="AJ138" s="37"/>
      <c r="AK138" s="31"/>
      <c r="AL138" s="80">
        <f t="shared" si="589"/>
        <v>0</v>
      </c>
      <c r="AM138" s="10">
        <f t="shared" si="590"/>
        <v>0</v>
      </c>
      <c r="AN138" s="10">
        <f t="shared" si="591"/>
        <v>0</v>
      </c>
      <c r="AO138" s="10">
        <f t="shared" si="592"/>
        <v>0</v>
      </c>
      <c r="AP138" s="10">
        <f t="shared" si="593"/>
        <v>0</v>
      </c>
      <c r="AQ138" s="2">
        <f t="shared" si="594"/>
        <v>0</v>
      </c>
      <c r="AR138" s="39"/>
    </row>
    <row r="139" spans="1:44" s="38" customFormat="1">
      <c r="A139" s="102" t="s">
        <v>181</v>
      </c>
      <c r="B139" s="40" t="s">
        <v>34</v>
      </c>
      <c r="C139">
        <v>0</v>
      </c>
      <c r="D139" s="40" t="s">
        <v>9</v>
      </c>
      <c r="E139" s="31">
        <v>0</v>
      </c>
      <c r="F139" s="128">
        <f t="shared" si="572"/>
        <v>0</v>
      </c>
      <c r="G139" s="139">
        <v>0</v>
      </c>
      <c r="H139" s="243">
        <v>16</v>
      </c>
      <c r="I139" s="243">
        <v>40</v>
      </c>
      <c r="J139" s="243">
        <v>4</v>
      </c>
      <c r="K139" s="140">
        <v>0</v>
      </c>
      <c r="L139" t="s">
        <v>8</v>
      </c>
      <c r="M139" s="31">
        <f t="shared" si="573"/>
        <v>15104</v>
      </c>
      <c r="N139">
        <v>2</v>
      </c>
      <c r="O139" s="41">
        <f t="shared" si="574"/>
        <v>15104</v>
      </c>
      <c r="P139" s="41"/>
      <c r="Q139" s="108" t="s">
        <v>49</v>
      </c>
      <c r="R139" s="179" t="s">
        <v>91</v>
      </c>
      <c r="S139" s="186" t="str">
        <f t="shared" si="575"/>
        <v>CPD2009</v>
      </c>
      <c r="T139" s="186" t="str">
        <f t="shared" si="576"/>
        <v>C5.2.32009</v>
      </c>
      <c r="U139" s="186" t="s">
        <v>324</v>
      </c>
      <c r="V139"/>
      <c r="W139"/>
      <c r="X139"/>
      <c r="Y139"/>
      <c r="Z139"/>
      <c r="AA139" s="85">
        <v>2009</v>
      </c>
      <c r="AB139" s="2">
        <f t="shared" si="577"/>
        <v>0</v>
      </c>
      <c r="AC139" s="2">
        <f t="shared" si="578"/>
        <v>0</v>
      </c>
      <c r="AD139" s="2">
        <f t="shared" si="579"/>
        <v>0</v>
      </c>
      <c r="AE139" s="2">
        <f t="shared" si="580"/>
        <v>0</v>
      </c>
      <c r="AF139" s="2">
        <f t="shared" si="581"/>
        <v>0</v>
      </c>
      <c r="AG139" s="3">
        <f t="shared" si="582"/>
        <v>0</v>
      </c>
      <c r="AH139" s="39"/>
      <c r="AI139" s="37"/>
      <c r="AJ139" s="37"/>
      <c r="AK139" s="31"/>
      <c r="AL139" s="80">
        <f t="shared" si="589"/>
        <v>0</v>
      </c>
      <c r="AM139" s="10">
        <f t="shared" si="590"/>
        <v>32</v>
      </c>
      <c r="AN139" s="10">
        <f t="shared" si="591"/>
        <v>80</v>
      </c>
      <c r="AO139" s="10">
        <f t="shared" si="592"/>
        <v>8</v>
      </c>
      <c r="AP139" s="10">
        <f t="shared" si="593"/>
        <v>0</v>
      </c>
      <c r="AQ139" s="2">
        <f t="shared" si="594"/>
        <v>0</v>
      </c>
      <c r="AR139" s="39"/>
    </row>
    <row r="140" spans="1:44" s="38" customFormat="1">
      <c r="A140" s="102" t="s">
        <v>177</v>
      </c>
      <c r="B140" s="40" t="s">
        <v>84</v>
      </c>
      <c r="C140">
        <v>0</v>
      </c>
      <c r="D140" s="40" t="s">
        <v>9</v>
      </c>
      <c r="E140" s="31">
        <v>0</v>
      </c>
      <c r="F140" s="128">
        <f t="shared" ref="F140:F144" si="595">E140*C140</f>
        <v>0</v>
      </c>
      <c r="G140" s="139">
        <v>0</v>
      </c>
      <c r="H140" s="139">
        <v>8</v>
      </c>
      <c r="I140" s="139">
        <v>0</v>
      </c>
      <c r="J140" s="139">
        <v>4</v>
      </c>
      <c r="K140" s="140">
        <v>0</v>
      </c>
      <c r="L140" t="s">
        <v>8</v>
      </c>
      <c r="M140" s="31">
        <f t="shared" ref="M140:M144" si="596">((Shop*G140)+(M_Tech*H140)+(CMM*I140)+(ENG*J140)+(DES*K140))*N140</f>
        <v>0</v>
      </c>
      <c r="N140">
        <v>0</v>
      </c>
      <c r="O140" s="41">
        <f t="shared" ref="O140:O144" si="597">M140+(N140*F140)</f>
        <v>0</v>
      </c>
      <c r="P140" s="41"/>
      <c r="Q140" s="108" t="s">
        <v>49</v>
      </c>
      <c r="R140" s="179" t="s">
        <v>91</v>
      </c>
      <c r="S140" s="186" t="str">
        <f t="shared" ref="S140:S144" si="598">CONCATENATE(Q140,R140,AA140)</f>
        <v>CPD2009</v>
      </c>
      <c r="T140" s="186" t="str">
        <f t="shared" si="576"/>
        <v>C5.2.32009</v>
      </c>
      <c r="U140" s="186" t="s">
        <v>324</v>
      </c>
      <c r="V140"/>
      <c r="W140"/>
      <c r="X140"/>
      <c r="Y140"/>
      <c r="Z140"/>
      <c r="AA140" s="85">
        <v>2009</v>
      </c>
      <c r="AB140" s="2">
        <f t="shared" ref="AB140:AB144" si="599">IF($Q140="B", (G140*$N140),0)</f>
        <v>0</v>
      </c>
      <c r="AC140" s="2">
        <f t="shared" ref="AC140:AC144" si="600">IF($Q140="B", (H140*$N140),0)</f>
        <v>0</v>
      </c>
      <c r="AD140" s="2">
        <f t="shared" ref="AD140:AD144" si="601">IF($Q140="B", (I140*$N140),0)</f>
        <v>0</v>
      </c>
      <c r="AE140" s="2">
        <f t="shared" ref="AE140:AE144" si="602">IF($Q140="B", (J140*$N140),0)</f>
        <v>0</v>
      </c>
      <c r="AF140" s="2">
        <f t="shared" ref="AF140:AF144" si="603">IF($Q140="B", (K140*$N140),0)</f>
        <v>0</v>
      </c>
      <c r="AG140" s="3">
        <f t="shared" ref="AG140:AG144" si="604">IF($Q140="B", (F140*$N140),0)</f>
        <v>0</v>
      </c>
      <c r="AH140" s="39"/>
      <c r="AI140" s="37"/>
      <c r="AJ140" s="37"/>
      <c r="AK140" s="31"/>
      <c r="AL140" s="80">
        <f t="shared" si="589"/>
        <v>0</v>
      </c>
      <c r="AM140" s="10">
        <f t="shared" si="590"/>
        <v>0</v>
      </c>
      <c r="AN140" s="10">
        <f t="shared" si="591"/>
        <v>0</v>
      </c>
      <c r="AO140" s="10">
        <f t="shared" si="592"/>
        <v>0</v>
      </c>
      <c r="AP140" s="10">
        <f t="shared" si="593"/>
        <v>0</v>
      </c>
      <c r="AQ140" s="2">
        <f t="shared" si="594"/>
        <v>0</v>
      </c>
      <c r="AR140" s="39"/>
    </row>
    <row r="141" spans="1:44" s="38" customFormat="1">
      <c r="A141" s="102" t="s">
        <v>178</v>
      </c>
      <c r="B141" s="40" t="s">
        <v>84</v>
      </c>
      <c r="C141">
        <v>0</v>
      </c>
      <c r="D141" s="40" t="s">
        <v>9</v>
      </c>
      <c r="E141" s="31">
        <v>0</v>
      </c>
      <c r="F141" s="128">
        <f t="shared" si="595"/>
        <v>0</v>
      </c>
      <c r="G141" s="139">
        <v>0</v>
      </c>
      <c r="H141" s="139">
        <v>8</v>
      </c>
      <c r="I141" s="139">
        <v>0</v>
      </c>
      <c r="J141" s="139">
        <v>4</v>
      </c>
      <c r="K141" s="140">
        <v>0</v>
      </c>
      <c r="L141" t="s">
        <v>8</v>
      </c>
      <c r="M141" s="31">
        <f t="shared" si="596"/>
        <v>0</v>
      </c>
      <c r="N141">
        <v>0</v>
      </c>
      <c r="O141" s="41">
        <f t="shared" si="597"/>
        <v>0</v>
      </c>
      <c r="P141" s="41"/>
      <c r="Q141" s="108" t="s">
        <v>49</v>
      </c>
      <c r="R141" s="179" t="s">
        <v>91</v>
      </c>
      <c r="S141" s="186" t="str">
        <f t="shared" si="598"/>
        <v>CPD2009</v>
      </c>
      <c r="T141" s="186" t="str">
        <f t="shared" si="576"/>
        <v>C5.2.32009</v>
      </c>
      <c r="U141" s="186" t="s">
        <v>324</v>
      </c>
      <c r="V141"/>
      <c r="W141"/>
      <c r="X141"/>
      <c r="Y141"/>
      <c r="Z141"/>
      <c r="AA141" s="85">
        <v>2009</v>
      </c>
      <c r="AB141" s="2">
        <f t="shared" si="599"/>
        <v>0</v>
      </c>
      <c r="AC141" s="2">
        <f t="shared" si="600"/>
        <v>0</v>
      </c>
      <c r="AD141" s="2">
        <f t="shared" si="601"/>
        <v>0</v>
      </c>
      <c r="AE141" s="2">
        <f t="shared" si="602"/>
        <v>0</v>
      </c>
      <c r="AF141" s="2">
        <f t="shared" si="603"/>
        <v>0</v>
      </c>
      <c r="AG141" s="3">
        <f t="shared" si="604"/>
        <v>0</v>
      </c>
      <c r="AH141" s="39"/>
      <c r="AI141" s="37"/>
      <c r="AJ141" s="37"/>
      <c r="AK141" s="31"/>
      <c r="AL141" s="80">
        <f>IF($Q141="C", (G141*$N141),0)</f>
        <v>0</v>
      </c>
      <c r="AM141" s="10">
        <f>IF($Q141="C", (H141*$N141),0)</f>
        <v>0</v>
      </c>
      <c r="AN141" s="10">
        <f>IF($Q141="C", (I141*$N141),0)</f>
        <v>0</v>
      </c>
      <c r="AO141" s="10">
        <f>IF($Q141="C", (J141*$N141),0)</f>
        <v>0</v>
      </c>
      <c r="AP141" s="10">
        <f>IF($Q141="C", (K141*$N141),0)</f>
        <v>0</v>
      </c>
      <c r="AQ141" s="2">
        <f>IF($Q141="C", (F141*$N141),0)</f>
        <v>0</v>
      </c>
      <c r="AR141" s="39"/>
    </row>
    <row r="142" spans="1:44" s="38" customFormat="1">
      <c r="A142" s="102" t="s">
        <v>179</v>
      </c>
      <c r="B142" s="40" t="s">
        <v>84</v>
      </c>
      <c r="C142">
        <v>0</v>
      </c>
      <c r="D142" s="40" t="s">
        <v>9</v>
      </c>
      <c r="E142" s="31">
        <v>0</v>
      </c>
      <c r="F142" s="128">
        <f t="shared" si="595"/>
        <v>0</v>
      </c>
      <c r="G142" s="139">
        <v>0</v>
      </c>
      <c r="H142" s="243">
        <v>32</v>
      </c>
      <c r="I142" s="139">
        <v>0</v>
      </c>
      <c r="J142" s="168">
        <v>8</v>
      </c>
      <c r="K142" s="140">
        <v>0</v>
      </c>
      <c r="L142" t="s">
        <v>8</v>
      </c>
      <c r="M142" s="31">
        <f t="shared" si="596"/>
        <v>4944</v>
      </c>
      <c r="N142">
        <v>1</v>
      </c>
      <c r="O142" s="41">
        <f t="shared" si="597"/>
        <v>4944</v>
      </c>
      <c r="P142" s="41"/>
      <c r="Q142" s="108" t="s">
        <v>49</v>
      </c>
      <c r="R142" s="179" t="s">
        <v>91</v>
      </c>
      <c r="S142" s="186" t="str">
        <f t="shared" si="598"/>
        <v>CPD2009</v>
      </c>
      <c r="T142" s="186" t="str">
        <f t="shared" si="576"/>
        <v>C5.2.32009</v>
      </c>
      <c r="U142" s="186" t="s">
        <v>324</v>
      </c>
      <c r="V142"/>
      <c r="W142"/>
      <c r="X142"/>
      <c r="Y142"/>
      <c r="Z142"/>
      <c r="AA142" s="85">
        <v>2009</v>
      </c>
      <c r="AB142" s="2">
        <f t="shared" si="599"/>
        <v>0</v>
      </c>
      <c r="AC142" s="2">
        <f t="shared" si="600"/>
        <v>0</v>
      </c>
      <c r="AD142" s="2">
        <f t="shared" si="601"/>
        <v>0</v>
      </c>
      <c r="AE142" s="2">
        <f t="shared" si="602"/>
        <v>0</v>
      </c>
      <c r="AF142" s="2">
        <f t="shared" si="603"/>
        <v>0</v>
      </c>
      <c r="AG142" s="3">
        <f t="shared" si="604"/>
        <v>0</v>
      </c>
      <c r="AH142" s="39"/>
      <c r="AI142" s="37"/>
      <c r="AJ142" s="37"/>
      <c r="AK142" s="31"/>
      <c r="AL142" s="80">
        <f t="shared" ref="AL142:AL144" si="605">IF($Q142="C", (G142*$N142),0)</f>
        <v>0</v>
      </c>
      <c r="AM142" s="10">
        <f t="shared" ref="AM142:AM144" si="606">IF($Q142="C", (H142*$N142),0)</f>
        <v>32</v>
      </c>
      <c r="AN142" s="10">
        <f t="shared" ref="AN142:AN144" si="607">IF($Q142="C", (I142*$N142),0)</f>
        <v>0</v>
      </c>
      <c r="AO142" s="10">
        <f t="shared" ref="AO142:AO144" si="608">IF($Q142="C", (J142*$N142),0)</f>
        <v>8</v>
      </c>
      <c r="AP142" s="10">
        <f t="shared" ref="AP142:AP144" si="609">IF($Q142="C", (K142*$N142),0)</f>
        <v>0</v>
      </c>
      <c r="AQ142" s="2">
        <f t="shared" ref="AQ142:AQ144" si="610">IF($Q142="C", (F142*$N142),0)</f>
        <v>0</v>
      </c>
      <c r="AR142" s="39"/>
    </row>
    <row r="143" spans="1:44" s="38" customFormat="1">
      <c r="A143" s="102" t="s">
        <v>180</v>
      </c>
      <c r="B143" s="40" t="s">
        <v>84</v>
      </c>
      <c r="C143">
        <v>0</v>
      </c>
      <c r="D143" s="40" t="s">
        <v>9</v>
      </c>
      <c r="E143" s="31">
        <v>0</v>
      </c>
      <c r="F143" s="128">
        <f t="shared" si="595"/>
        <v>0</v>
      </c>
      <c r="G143" s="139">
        <v>0</v>
      </c>
      <c r="H143" s="139">
        <v>4</v>
      </c>
      <c r="I143" s="139">
        <v>16</v>
      </c>
      <c r="J143" s="139">
        <v>4</v>
      </c>
      <c r="K143" s="140">
        <v>0</v>
      </c>
      <c r="L143" t="s">
        <v>8</v>
      </c>
      <c r="M143" s="31">
        <f t="shared" si="596"/>
        <v>3100</v>
      </c>
      <c r="N143">
        <v>1</v>
      </c>
      <c r="O143" s="41">
        <f t="shared" si="597"/>
        <v>3100</v>
      </c>
      <c r="P143" s="41"/>
      <c r="Q143" s="108" t="s">
        <v>49</v>
      </c>
      <c r="R143" s="179" t="s">
        <v>91</v>
      </c>
      <c r="S143" s="186" t="str">
        <f t="shared" si="598"/>
        <v>CPD2009</v>
      </c>
      <c r="T143" s="186" t="str">
        <f t="shared" si="576"/>
        <v>C5.2.32009</v>
      </c>
      <c r="U143" s="186" t="s">
        <v>324</v>
      </c>
      <c r="V143"/>
      <c r="W143"/>
      <c r="X143"/>
      <c r="Y143"/>
      <c r="Z143"/>
      <c r="AA143" s="85">
        <v>2009</v>
      </c>
      <c r="AB143" s="2">
        <f t="shared" si="599"/>
        <v>0</v>
      </c>
      <c r="AC143" s="2">
        <f t="shared" si="600"/>
        <v>0</v>
      </c>
      <c r="AD143" s="2">
        <f t="shared" si="601"/>
        <v>0</v>
      </c>
      <c r="AE143" s="2">
        <f t="shared" si="602"/>
        <v>0</v>
      </c>
      <c r="AF143" s="2">
        <f t="shared" si="603"/>
        <v>0</v>
      </c>
      <c r="AG143" s="3">
        <f t="shared" si="604"/>
        <v>0</v>
      </c>
      <c r="AH143" s="39"/>
      <c r="AI143" s="37"/>
      <c r="AJ143" s="37"/>
      <c r="AK143" s="31"/>
      <c r="AL143" s="80">
        <f t="shared" si="605"/>
        <v>0</v>
      </c>
      <c r="AM143" s="10">
        <f t="shared" si="606"/>
        <v>4</v>
      </c>
      <c r="AN143" s="10">
        <f t="shared" si="607"/>
        <v>16</v>
      </c>
      <c r="AO143" s="10">
        <f t="shared" si="608"/>
        <v>4</v>
      </c>
      <c r="AP143" s="10">
        <f t="shared" si="609"/>
        <v>0</v>
      </c>
      <c r="AQ143" s="2">
        <f t="shared" si="610"/>
        <v>0</v>
      </c>
      <c r="AR143" s="39"/>
    </row>
    <row r="144" spans="1:44" s="38" customFormat="1">
      <c r="A144" s="102" t="s">
        <v>181</v>
      </c>
      <c r="B144" s="40" t="s">
        <v>84</v>
      </c>
      <c r="C144">
        <v>0</v>
      </c>
      <c r="D144" s="40" t="s">
        <v>9</v>
      </c>
      <c r="E144" s="31">
        <v>0</v>
      </c>
      <c r="F144" s="128">
        <f t="shared" si="595"/>
        <v>0</v>
      </c>
      <c r="G144" s="139">
        <v>0</v>
      </c>
      <c r="H144" s="139">
        <v>8</v>
      </c>
      <c r="I144" s="139">
        <v>16</v>
      </c>
      <c r="J144" s="139">
        <v>4</v>
      </c>
      <c r="K144" s="140">
        <v>0</v>
      </c>
      <c r="L144" t="s">
        <v>8</v>
      </c>
      <c r="M144" s="31">
        <f t="shared" si="596"/>
        <v>3568</v>
      </c>
      <c r="N144">
        <v>1</v>
      </c>
      <c r="O144" s="41">
        <f t="shared" si="597"/>
        <v>3568</v>
      </c>
      <c r="P144" s="41"/>
      <c r="Q144" s="108" t="s">
        <v>49</v>
      </c>
      <c r="R144" s="179" t="s">
        <v>91</v>
      </c>
      <c r="S144" s="186" t="str">
        <f t="shared" si="598"/>
        <v>CPD2009</v>
      </c>
      <c r="T144" s="186" t="str">
        <f t="shared" si="576"/>
        <v>C5.2.32009</v>
      </c>
      <c r="U144" s="186" t="s">
        <v>324</v>
      </c>
      <c r="V144"/>
      <c r="W144"/>
      <c r="X144"/>
      <c r="Y144"/>
      <c r="Z144"/>
      <c r="AA144" s="85">
        <v>2009</v>
      </c>
      <c r="AB144" s="2">
        <f t="shared" si="599"/>
        <v>0</v>
      </c>
      <c r="AC144" s="2">
        <f t="shared" si="600"/>
        <v>0</v>
      </c>
      <c r="AD144" s="2">
        <f t="shared" si="601"/>
        <v>0</v>
      </c>
      <c r="AE144" s="2">
        <f t="shared" si="602"/>
        <v>0</v>
      </c>
      <c r="AF144" s="2">
        <f t="shared" si="603"/>
        <v>0</v>
      </c>
      <c r="AG144" s="3">
        <f t="shared" si="604"/>
        <v>0</v>
      </c>
      <c r="AH144" s="39"/>
      <c r="AI144" s="37"/>
      <c r="AJ144" s="37"/>
      <c r="AK144" s="31"/>
      <c r="AL144" s="80">
        <f t="shared" si="605"/>
        <v>0</v>
      </c>
      <c r="AM144" s="10">
        <f t="shared" si="606"/>
        <v>8</v>
      </c>
      <c r="AN144" s="10">
        <f t="shared" si="607"/>
        <v>16</v>
      </c>
      <c r="AO144" s="10">
        <f t="shared" si="608"/>
        <v>4</v>
      </c>
      <c r="AP144" s="10">
        <f t="shared" si="609"/>
        <v>0</v>
      </c>
      <c r="AQ144" s="2">
        <f t="shared" si="610"/>
        <v>0</v>
      </c>
      <c r="AR144" s="39"/>
    </row>
    <row r="145" spans="1:44">
      <c r="A145" s="43" t="s">
        <v>314</v>
      </c>
      <c r="B145" s="7"/>
      <c r="C145" s="7"/>
      <c r="D145" s="7"/>
      <c r="E145" s="9"/>
      <c r="F145" s="8"/>
      <c r="G145" s="141"/>
      <c r="H145" s="141"/>
      <c r="I145" s="141"/>
      <c r="J145" s="141"/>
      <c r="K145" s="142"/>
      <c r="L145" s="7"/>
      <c r="M145" s="9">
        <f>SUMIF(Q73:Q144,"B",M73:M144)</f>
        <v>133850</v>
      </c>
      <c r="N145" s="275" t="s">
        <v>77</v>
      </c>
      <c r="O145" s="276"/>
      <c r="P145" s="277"/>
      <c r="Q145" s="109"/>
      <c r="R145" s="182"/>
      <c r="S145" s="187"/>
      <c r="T145" s="187"/>
      <c r="U145" s="187"/>
      <c r="V145" s="7"/>
      <c r="W145" s="7"/>
      <c r="X145" s="7"/>
      <c r="Y145" s="7"/>
      <c r="Z145" s="7"/>
      <c r="AA145" s="86"/>
      <c r="AB145" s="11">
        <f>SUM(AB130:AB144)</f>
        <v>64</v>
      </c>
      <c r="AC145" s="11">
        <f t="shared" ref="AC145:AF145" si="611">SUM(AC130:AC144)</f>
        <v>104</v>
      </c>
      <c r="AD145" s="11">
        <f t="shared" si="611"/>
        <v>92</v>
      </c>
      <c r="AE145" s="11">
        <f t="shared" si="611"/>
        <v>72</v>
      </c>
      <c r="AF145" s="11">
        <f t="shared" si="611"/>
        <v>0</v>
      </c>
      <c r="AG145" s="11"/>
      <c r="AH145" s="8">
        <f>SUM(AG130:AG144)</f>
        <v>3360</v>
      </c>
      <c r="AI145" s="9">
        <f>(Shop*AB145)+M_Tech*AC145+CMM*AD145+ENG*AE145+DES*AF145+AH145</f>
        <v>46140</v>
      </c>
      <c r="AJ145" s="9"/>
      <c r="AK145" s="8">
        <f>Shop*AL145+M_Tech*AM145+CMM*AN145+ENG*AO145+DES*AP145+AR145</f>
        <v>26716</v>
      </c>
      <c r="AL145" s="11">
        <f>SUM(AL130:AL144)</f>
        <v>0</v>
      </c>
      <c r="AM145" s="11">
        <f t="shared" ref="AM145" si="612">SUM(AM130:AM144)</f>
        <v>76</v>
      </c>
      <c r="AN145" s="11">
        <f t="shared" ref="AN145" si="613">SUM(AN130:AN144)</f>
        <v>112</v>
      </c>
      <c r="AO145" s="11">
        <f t="shared" ref="AO145" si="614">SUM(AO130:AO144)</f>
        <v>24</v>
      </c>
      <c r="AP145" s="11">
        <f t="shared" ref="AP145" si="615">SUM(AP130:AP144)</f>
        <v>0</v>
      </c>
      <c r="AQ145" s="11"/>
      <c r="AR145" s="8">
        <f>SUM(AQ130:AQ144)</f>
        <v>0</v>
      </c>
    </row>
    <row r="146" spans="1:44">
      <c r="F146" s="128"/>
      <c r="G146" s="139"/>
      <c r="H146" s="139"/>
      <c r="I146" s="139"/>
      <c r="J146" s="139"/>
      <c r="K146" s="140"/>
      <c r="L146" s="169" t="s">
        <v>78</v>
      </c>
      <c r="M146" s="170">
        <f>SUMIF(Q130:Q144,"B",M130:M144)</f>
        <v>42780</v>
      </c>
      <c r="N146" s="171" t="s">
        <v>78</v>
      </c>
      <c r="O146" s="41"/>
      <c r="P146" s="41"/>
      <c r="Q146" s="87"/>
      <c r="R146" s="180"/>
      <c r="S146" s="192"/>
      <c r="T146" s="192"/>
      <c r="U146" s="192"/>
      <c r="V146"/>
      <c r="W146"/>
      <c r="X146"/>
      <c r="Y146"/>
      <c r="Z146"/>
      <c r="AA146" s="88"/>
      <c r="AB146" s="74"/>
      <c r="AC146" s="74"/>
      <c r="AD146" s="74"/>
      <c r="AE146" s="74"/>
      <c r="AF146" s="74"/>
      <c r="AG146" s="75"/>
      <c r="AH146" s="76"/>
      <c r="AI146" s="1"/>
      <c r="AJ146" s="1"/>
      <c r="AL146" s="81"/>
      <c r="AM146" s="2"/>
      <c r="AN146" s="2"/>
      <c r="AO146" s="2"/>
      <c r="AP146" s="2"/>
      <c r="AQ146" s="2"/>
      <c r="AR146" s="73"/>
    </row>
    <row r="147" spans="1:44">
      <c r="A147" s="40" t="s">
        <v>107</v>
      </c>
      <c r="F147" s="128"/>
      <c r="G147" s="139"/>
      <c r="H147" s="139"/>
      <c r="I147" s="139"/>
      <c r="J147" s="139"/>
      <c r="K147" s="140"/>
      <c r="M147" s="31"/>
      <c r="N147"/>
      <c r="O147" s="42"/>
      <c r="P147" s="42"/>
      <c r="Q147" s="108"/>
      <c r="R147" s="179"/>
      <c r="S147" s="186"/>
      <c r="T147" s="186"/>
      <c r="U147" s="186"/>
      <c r="V147"/>
      <c r="W147"/>
      <c r="X147"/>
      <c r="Y147"/>
      <c r="Z147"/>
      <c r="AA147" s="85"/>
      <c r="AB147" s="10"/>
      <c r="AC147" s="10"/>
      <c r="AD147" s="10"/>
      <c r="AE147" s="10"/>
      <c r="AF147" s="10"/>
      <c r="AG147" s="3"/>
      <c r="AH147" s="73"/>
      <c r="AI147" s="2"/>
      <c r="AJ147" s="2"/>
      <c r="AL147" s="81"/>
      <c r="AM147" s="2"/>
      <c r="AN147" s="2"/>
      <c r="AO147" s="2"/>
      <c r="AP147" s="2"/>
      <c r="AQ147" s="2"/>
      <c r="AR147" s="73"/>
    </row>
    <row r="148" spans="1:44">
      <c r="A148" t="s">
        <v>17</v>
      </c>
      <c r="B148" t="s">
        <v>22</v>
      </c>
      <c r="C148">
        <v>4</v>
      </c>
      <c r="D148" t="s">
        <v>13</v>
      </c>
      <c r="E148" s="31">
        <v>10</v>
      </c>
      <c r="F148" s="128">
        <f t="shared" ref="F148:F154" si="616">E148*C148</f>
        <v>40</v>
      </c>
      <c r="G148" s="139">
        <v>0</v>
      </c>
      <c r="H148" s="139">
        <v>0</v>
      </c>
      <c r="I148" s="139">
        <v>0</v>
      </c>
      <c r="J148" s="139">
        <v>0</v>
      </c>
      <c r="K148" s="140">
        <v>0</v>
      </c>
      <c r="L148" t="s">
        <v>8</v>
      </c>
      <c r="M148" s="31">
        <f t="shared" ref="M148:M154" si="617">((Shop*G148)+(M_Tech*H148)+(CMM*I148)+(ENG*J148)+(DES*K148))*N148</f>
        <v>0</v>
      </c>
      <c r="N148" s="242">
        <v>2</v>
      </c>
      <c r="O148" s="42">
        <f t="shared" ref="O148:O154" si="618">N148*(M148+F148)</f>
        <v>80</v>
      </c>
      <c r="P148" s="42"/>
      <c r="Q148" s="108" t="s">
        <v>48</v>
      </c>
      <c r="R148" s="179" t="s">
        <v>91</v>
      </c>
      <c r="S148" s="186" t="str">
        <f t="shared" ref="S148:S154" si="619">CONCATENATE(Q148,R148,AA148)</f>
        <v>BPD2009</v>
      </c>
      <c r="T148" s="186" t="str">
        <f t="shared" ref="T148:T154" si="620">CONCATENATE(Q148,U148,AA148)</f>
        <v>B5.2.32009</v>
      </c>
      <c r="U148" s="186" t="s">
        <v>324</v>
      </c>
      <c r="V148"/>
      <c r="W148"/>
      <c r="X148"/>
      <c r="Y148"/>
      <c r="Z148"/>
      <c r="AA148" s="85">
        <v>2009</v>
      </c>
      <c r="AB148" s="2">
        <f t="shared" ref="AB148:AB154" si="621">IF($Q148="B", (G148*$N148),0)</f>
        <v>0</v>
      </c>
      <c r="AC148" s="2">
        <f t="shared" ref="AC148:AC154" si="622">IF($Q148="B", (H148*$N148),0)</f>
        <v>0</v>
      </c>
      <c r="AD148" s="2">
        <f t="shared" ref="AD148:AD154" si="623">IF($Q148="B", (I148*$N148),0)</f>
        <v>0</v>
      </c>
      <c r="AE148" s="2">
        <f t="shared" ref="AE148:AE154" si="624">IF($Q148="B", (J148*$N148),0)</f>
        <v>0</v>
      </c>
      <c r="AF148" s="2">
        <f t="shared" ref="AF148:AF154" si="625">IF($Q148="B", (K148*$N148),0)</f>
        <v>0</v>
      </c>
      <c r="AG148" s="3">
        <f t="shared" ref="AG148:AG154" si="626">IF($Q148="B", (F148*$N148),0)</f>
        <v>80</v>
      </c>
      <c r="AH148" s="73"/>
      <c r="AI148" s="2"/>
      <c r="AJ148" s="2"/>
      <c r="AL148" s="80">
        <f t="shared" ref="AL148:AL154" si="627">IF($Q148="C", (G148*$N148),0)</f>
        <v>0</v>
      </c>
      <c r="AM148" s="10">
        <f t="shared" ref="AM148:AM154" si="628">IF($Q148="C", (H148*$N148),0)</f>
        <v>0</v>
      </c>
      <c r="AN148" s="10">
        <f t="shared" ref="AN148:AN154" si="629">IF($Q148="C", (I148*$N148),0)</f>
        <v>0</v>
      </c>
      <c r="AO148" s="10">
        <f t="shared" ref="AO148:AO154" si="630">IF($Q148="C", (J148*$N148),0)</f>
        <v>0</v>
      </c>
      <c r="AP148" s="10">
        <f t="shared" ref="AP148:AP154" si="631">IF($Q148="C", (K148*$N148),0)</f>
        <v>0</v>
      </c>
      <c r="AQ148" s="2">
        <f t="shared" ref="AQ148:AQ154" si="632">IF($Q148="C", (F148*$N148),0)</f>
        <v>0</v>
      </c>
      <c r="AR148" s="73"/>
    </row>
    <row r="149" spans="1:44">
      <c r="A149" t="s">
        <v>18</v>
      </c>
      <c r="B149" t="s">
        <v>23</v>
      </c>
      <c r="C149">
        <v>1</v>
      </c>
      <c r="D149" t="s">
        <v>24</v>
      </c>
      <c r="E149" s="31">
        <v>100</v>
      </c>
      <c r="F149" s="128">
        <f t="shared" si="616"/>
        <v>100</v>
      </c>
      <c r="G149" s="139">
        <v>0</v>
      </c>
      <c r="H149" s="139">
        <v>0</v>
      </c>
      <c r="I149" s="139">
        <v>0</v>
      </c>
      <c r="J149" s="139">
        <v>0</v>
      </c>
      <c r="K149" s="140">
        <v>0</v>
      </c>
      <c r="L149" t="s">
        <v>8</v>
      </c>
      <c r="M149" s="31">
        <f t="shared" si="617"/>
        <v>0</v>
      </c>
      <c r="N149" s="242">
        <v>2</v>
      </c>
      <c r="O149" s="42">
        <f t="shared" si="618"/>
        <v>200</v>
      </c>
      <c r="P149" s="42"/>
      <c r="Q149" s="108" t="s">
        <v>48</v>
      </c>
      <c r="R149" s="179" t="s">
        <v>91</v>
      </c>
      <c r="S149" s="186" t="str">
        <f t="shared" si="619"/>
        <v>BPD2009</v>
      </c>
      <c r="T149" s="186" t="str">
        <f t="shared" si="620"/>
        <v>B5.2.32009</v>
      </c>
      <c r="U149" s="186" t="s">
        <v>324</v>
      </c>
      <c r="V149"/>
      <c r="W149"/>
      <c r="X149"/>
      <c r="Y149"/>
      <c r="Z149"/>
      <c r="AA149" s="85">
        <v>2009</v>
      </c>
      <c r="AB149" s="2">
        <f t="shared" si="621"/>
        <v>0</v>
      </c>
      <c r="AC149" s="2">
        <f t="shared" si="622"/>
        <v>0</v>
      </c>
      <c r="AD149" s="2">
        <f t="shared" si="623"/>
        <v>0</v>
      </c>
      <c r="AE149" s="2">
        <f t="shared" si="624"/>
        <v>0</v>
      </c>
      <c r="AF149" s="2">
        <f t="shared" si="625"/>
        <v>0</v>
      </c>
      <c r="AG149" s="3">
        <f t="shared" si="626"/>
        <v>200</v>
      </c>
      <c r="AH149" s="73"/>
      <c r="AL149" s="80">
        <f t="shared" si="627"/>
        <v>0</v>
      </c>
      <c r="AM149" s="10">
        <f t="shared" si="628"/>
        <v>0</v>
      </c>
      <c r="AN149" s="10">
        <f t="shared" si="629"/>
        <v>0</v>
      </c>
      <c r="AO149" s="10">
        <f t="shared" si="630"/>
        <v>0</v>
      </c>
      <c r="AP149" s="10">
        <f t="shared" si="631"/>
        <v>0</v>
      </c>
      <c r="AQ149" s="2">
        <f t="shared" si="632"/>
        <v>0</v>
      </c>
      <c r="AR149" s="73"/>
    </row>
    <row r="150" spans="1:44">
      <c r="A150" t="s">
        <v>19</v>
      </c>
      <c r="B150" t="s">
        <v>25</v>
      </c>
      <c r="C150">
        <v>5</v>
      </c>
      <c r="D150" t="s">
        <v>26</v>
      </c>
      <c r="E150" s="31">
        <v>3</v>
      </c>
      <c r="F150" s="128">
        <f>E150*C150</f>
        <v>15</v>
      </c>
      <c r="G150" s="139">
        <v>0</v>
      </c>
      <c r="H150" s="139">
        <v>0</v>
      </c>
      <c r="I150" s="139">
        <v>0</v>
      </c>
      <c r="J150" s="139">
        <v>0</v>
      </c>
      <c r="K150" s="140">
        <v>0</v>
      </c>
      <c r="L150" t="s">
        <v>8</v>
      </c>
      <c r="M150" s="31">
        <f t="shared" si="617"/>
        <v>0</v>
      </c>
      <c r="N150" s="242">
        <v>2</v>
      </c>
      <c r="O150" s="42">
        <f t="shared" si="618"/>
        <v>30</v>
      </c>
      <c r="P150" s="42"/>
      <c r="Q150" s="108" t="s">
        <v>48</v>
      </c>
      <c r="R150" s="179" t="s">
        <v>91</v>
      </c>
      <c r="S150" s="186" t="str">
        <f t="shared" si="619"/>
        <v>BPD2009</v>
      </c>
      <c r="T150" s="186" t="str">
        <f t="shared" si="620"/>
        <v>B5.2.32009</v>
      </c>
      <c r="U150" s="186" t="s">
        <v>324</v>
      </c>
      <c r="V150"/>
      <c r="W150"/>
      <c r="X150"/>
      <c r="Y150"/>
      <c r="Z150"/>
      <c r="AA150" s="85">
        <v>2009</v>
      </c>
      <c r="AB150" s="2">
        <f t="shared" si="621"/>
        <v>0</v>
      </c>
      <c r="AC150" s="2">
        <f t="shared" si="622"/>
        <v>0</v>
      </c>
      <c r="AD150" s="2">
        <f t="shared" si="623"/>
        <v>0</v>
      </c>
      <c r="AE150" s="2">
        <f t="shared" si="624"/>
        <v>0</v>
      </c>
      <c r="AF150" s="2">
        <f t="shared" si="625"/>
        <v>0</v>
      </c>
      <c r="AG150" s="3">
        <f t="shared" si="626"/>
        <v>30</v>
      </c>
      <c r="AH150" s="73"/>
      <c r="AL150" s="80">
        <f t="shared" si="627"/>
        <v>0</v>
      </c>
      <c r="AM150" s="10">
        <f t="shared" si="628"/>
        <v>0</v>
      </c>
      <c r="AN150" s="10">
        <f t="shared" si="629"/>
        <v>0</v>
      </c>
      <c r="AO150" s="10">
        <f t="shared" si="630"/>
        <v>0</v>
      </c>
      <c r="AP150" s="10">
        <f t="shared" si="631"/>
        <v>0</v>
      </c>
      <c r="AQ150" s="2">
        <f t="shared" si="632"/>
        <v>0</v>
      </c>
      <c r="AR150" s="73"/>
    </row>
    <row r="151" spans="1:44">
      <c r="A151" s="40" t="s">
        <v>80</v>
      </c>
      <c r="B151" t="s">
        <v>23</v>
      </c>
      <c r="C151">
        <v>1</v>
      </c>
      <c r="D151" t="s">
        <v>24</v>
      </c>
      <c r="E151" s="31">
        <v>150</v>
      </c>
      <c r="F151" s="128">
        <f t="shared" si="616"/>
        <v>150</v>
      </c>
      <c r="G151" s="139">
        <v>0</v>
      </c>
      <c r="H151" s="139">
        <v>5</v>
      </c>
      <c r="I151" s="139">
        <v>0</v>
      </c>
      <c r="J151" s="139">
        <v>0</v>
      </c>
      <c r="K151" s="140">
        <v>0</v>
      </c>
      <c r="L151" t="s">
        <v>8</v>
      </c>
      <c r="M151" s="31">
        <f t="shared" si="617"/>
        <v>1170</v>
      </c>
      <c r="N151" s="242">
        <v>2</v>
      </c>
      <c r="O151" s="42">
        <f t="shared" si="618"/>
        <v>2640</v>
      </c>
      <c r="P151" s="42"/>
      <c r="Q151" s="108" t="s">
        <v>48</v>
      </c>
      <c r="R151" s="179" t="s">
        <v>91</v>
      </c>
      <c r="S151" s="186" t="str">
        <f t="shared" si="619"/>
        <v>BPD2009</v>
      </c>
      <c r="T151" s="186" t="str">
        <f t="shared" si="620"/>
        <v>B5.2.32009</v>
      </c>
      <c r="U151" s="186" t="s">
        <v>324</v>
      </c>
      <c r="V151"/>
      <c r="W151"/>
      <c r="X151"/>
      <c r="Y151"/>
      <c r="Z151"/>
      <c r="AA151" s="85">
        <v>2009</v>
      </c>
      <c r="AB151" s="2">
        <f t="shared" si="621"/>
        <v>0</v>
      </c>
      <c r="AC151" s="2">
        <f t="shared" si="622"/>
        <v>10</v>
      </c>
      <c r="AD151" s="2">
        <f t="shared" si="623"/>
        <v>0</v>
      </c>
      <c r="AE151" s="2">
        <f t="shared" si="624"/>
        <v>0</v>
      </c>
      <c r="AF151" s="2">
        <f t="shared" si="625"/>
        <v>0</v>
      </c>
      <c r="AG151" s="3">
        <f t="shared" si="626"/>
        <v>300</v>
      </c>
      <c r="AH151" s="73"/>
      <c r="AI151" s="2"/>
      <c r="AJ151" s="2"/>
      <c r="AL151" s="80">
        <f t="shared" si="627"/>
        <v>0</v>
      </c>
      <c r="AM151" s="10">
        <f t="shared" si="628"/>
        <v>0</v>
      </c>
      <c r="AN151" s="10">
        <f t="shared" si="629"/>
        <v>0</v>
      </c>
      <c r="AO151" s="10">
        <f t="shared" si="630"/>
        <v>0</v>
      </c>
      <c r="AP151" s="10">
        <f t="shared" si="631"/>
        <v>0</v>
      </c>
      <c r="AQ151" s="2">
        <f t="shared" si="632"/>
        <v>0</v>
      </c>
      <c r="AR151" s="73"/>
    </row>
    <row r="152" spans="1:44">
      <c r="A152" s="40" t="s">
        <v>79</v>
      </c>
      <c r="B152" t="s">
        <v>27</v>
      </c>
      <c r="C152">
        <v>1</v>
      </c>
      <c r="D152" t="s">
        <v>28</v>
      </c>
      <c r="E152" s="31">
        <v>50</v>
      </c>
      <c r="F152" s="128">
        <f t="shared" si="616"/>
        <v>50</v>
      </c>
      <c r="G152" s="139">
        <v>4</v>
      </c>
      <c r="H152" s="139">
        <v>0</v>
      </c>
      <c r="I152" s="139">
        <v>0</v>
      </c>
      <c r="J152" s="139">
        <v>0</v>
      </c>
      <c r="K152" s="140">
        <v>0</v>
      </c>
      <c r="L152" t="s">
        <v>8</v>
      </c>
      <c r="M152" s="31">
        <f t="shared" si="617"/>
        <v>1016</v>
      </c>
      <c r="N152" s="242">
        <v>2</v>
      </c>
      <c r="O152" s="42">
        <f t="shared" si="618"/>
        <v>2132</v>
      </c>
      <c r="P152" s="42"/>
      <c r="Q152" s="108" t="s">
        <v>48</v>
      </c>
      <c r="R152" s="179" t="s">
        <v>91</v>
      </c>
      <c r="S152" s="186" t="str">
        <f t="shared" si="619"/>
        <v>BPD2009</v>
      </c>
      <c r="T152" s="186" t="str">
        <f t="shared" si="620"/>
        <v>B5.2.32009</v>
      </c>
      <c r="U152" s="186" t="s">
        <v>324</v>
      </c>
      <c r="V152"/>
      <c r="W152"/>
      <c r="X152"/>
      <c r="Y152"/>
      <c r="Z152"/>
      <c r="AA152" s="85">
        <v>2009</v>
      </c>
      <c r="AB152" s="2">
        <f t="shared" si="621"/>
        <v>8</v>
      </c>
      <c r="AC152" s="2">
        <f t="shared" si="622"/>
        <v>0</v>
      </c>
      <c r="AD152" s="2">
        <f t="shared" si="623"/>
        <v>0</v>
      </c>
      <c r="AE152" s="2">
        <f t="shared" si="624"/>
        <v>0</v>
      </c>
      <c r="AF152" s="2">
        <f t="shared" si="625"/>
        <v>0</v>
      </c>
      <c r="AG152" s="3">
        <f t="shared" si="626"/>
        <v>100</v>
      </c>
      <c r="AH152" s="73"/>
      <c r="AL152" s="80">
        <f t="shared" si="627"/>
        <v>0</v>
      </c>
      <c r="AM152" s="10">
        <f t="shared" si="628"/>
        <v>0</v>
      </c>
      <c r="AN152" s="10">
        <f t="shared" si="629"/>
        <v>0</v>
      </c>
      <c r="AO152" s="10">
        <f t="shared" si="630"/>
        <v>0</v>
      </c>
      <c r="AP152" s="10">
        <f t="shared" si="631"/>
        <v>0</v>
      </c>
      <c r="AQ152" s="2">
        <f t="shared" si="632"/>
        <v>0</v>
      </c>
      <c r="AR152" s="73"/>
    </row>
    <row r="153" spans="1:44">
      <c r="A153" t="s">
        <v>20</v>
      </c>
      <c r="B153" t="s">
        <v>34</v>
      </c>
      <c r="E153" s="31">
        <v>0</v>
      </c>
      <c r="F153" s="128">
        <f t="shared" si="616"/>
        <v>0</v>
      </c>
      <c r="G153" s="139">
        <v>0</v>
      </c>
      <c r="H153" s="139">
        <v>8</v>
      </c>
      <c r="I153" s="139">
        <v>0</v>
      </c>
      <c r="J153" s="139">
        <v>0</v>
      </c>
      <c r="K153" s="140">
        <v>0</v>
      </c>
      <c r="L153" t="s">
        <v>8</v>
      </c>
      <c r="M153" s="31">
        <f t="shared" si="617"/>
        <v>1872</v>
      </c>
      <c r="N153" s="242">
        <v>2</v>
      </c>
      <c r="O153" s="42">
        <f t="shared" si="618"/>
        <v>3744</v>
      </c>
      <c r="P153" s="42"/>
      <c r="Q153" s="108" t="s">
        <v>48</v>
      </c>
      <c r="R153" s="179" t="s">
        <v>91</v>
      </c>
      <c r="S153" s="186" t="str">
        <f t="shared" si="619"/>
        <v>BPD2009</v>
      </c>
      <c r="T153" s="186" t="str">
        <f t="shared" si="620"/>
        <v>B5.2.32009</v>
      </c>
      <c r="U153" s="186" t="s">
        <v>324</v>
      </c>
      <c r="V153"/>
      <c r="W153"/>
      <c r="X153"/>
      <c r="Y153"/>
      <c r="Z153"/>
      <c r="AA153" s="85">
        <v>2009</v>
      </c>
      <c r="AB153" s="2">
        <f t="shared" si="621"/>
        <v>0</v>
      </c>
      <c r="AC153" s="2">
        <f t="shared" si="622"/>
        <v>16</v>
      </c>
      <c r="AD153" s="2">
        <f t="shared" si="623"/>
        <v>0</v>
      </c>
      <c r="AE153" s="2">
        <f t="shared" si="624"/>
        <v>0</v>
      </c>
      <c r="AF153" s="2">
        <f t="shared" si="625"/>
        <v>0</v>
      </c>
      <c r="AG153" s="3">
        <f t="shared" si="626"/>
        <v>0</v>
      </c>
      <c r="AH153" s="73"/>
      <c r="AI153" s="2"/>
      <c r="AJ153" s="2"/>
      <c r="AL153" s="80">
        <f t="shared" si="627"/>
        <v>0</v>
      </c>
      <c r="AM153" s="10">
        <f t="shared" si="628"/>
        <v>0</v>
      </c>
      <c r="AN153" s="10">
        <f t="shared" si="629"/>
        <v>0</v>
      </c>
      <c r="AO153" s="10">
        <f t="shared" si="630"/>
        <v>0</v>
      </c>
      <c r="AP153" s="10">
        <f t="shared" si="631"/>
        <v>0</v>
      </c>
      <c r="AQ153" s="2">
        <f t="shared" si="632"/>
        <v>0</v>
      </c>
      <c r="AR153" s="73"/>
    </row>
    <row r="154" spans="1:44">
      <c r="A154" t="s">
        <v>21</v>
      </c>
      <c r="B154" t="s">
        <v>33</v>
      </c>
      <c r="C154">
        <v>1</v>
      </c>
      <c r="E154" s="31">
        <v>1500</v>
      </c>
      <c r="F154" s="130">
        <f t="shared" si="616"/>
        <v>1500</v>
      </c>
      <c r="G154" s="145">
        <v>0</v>
      </c>
      <c r="H154" s="145">
        <v>0</v>
      </c>
      <c r="I154" s="145">
        <v>0</v>
      </c>
      <c r="J154" s="145">
        <v>0</v>
      </c>
      <c r="K154" s="146">
        <v>0</v>
      </c>
      <c r="L154" t="s">
        <v>8</v>
      </c>
      <c r="M154" s="31">
        <f t="shared" si="617"/>
        <v>0</v>
      </c>
      <c r="N154" s="242">
        <v>2</v>
      </c>
      <c r="O154" s="42">
        <f t="shared" si="618"/>
        <v>3000</v>
      </c>
      <c r="P154" s="42"/>
      <c r="Q154" s="108" t="s">
        <v>48</v>
      </c>
      <c r="R154" s="179" t="s">
        <v>91</v>
      </c>
      <c r="S154" s="186" t="str">
        <f t="shared" si="619"/>
        <v>BPD2009</v>
      </c>
      <c r="T154" s="186" t="str">
        <f t="shared" si="620"/>
        <v>B5.2.32009</v>
      </c>
      <c r="U154" s="186" t="s">
        <v>324</v>
      </c>
      <c r="V154"/>
      <c r="W154"/>
      <c r="X154"/>
      <c r="Y154"/>
      <c r="Z154"/>
      <c r="AA154" s="85">
        <v>2009</v>
      </c>
      <c r="AB154" s="2">
        <f t="shared" si="621"/>
        <v>0</v>
      </c>
      <c r="AC154" s="2">
        <f t="shared" si="622"/>
        <v>0</v>
      </c>
      <c r="AD154" s="2">
        <f t="shared" si="623"/>
        <v>0</v>
      </c>
      <c r="AE154" s="2">
        <f t="shared" si="624"/>
        <v>0</v>
      </c>
      <c r="AF154" s="2">
        <f t="shared" si="625"/>
        <v>0</v>
      </c>
      <c r="AG154" s="3">
        <f t="shared" si="626"/>
        <v>3000</v>
      </c>
      <c r="AH154" s="78"/>
      <c r="AI154" t="s">
        <v>83</v>
      </c>
      <c r="AK154" s="31" t="s">
        <v>84</v>
      </c>
      <c r="AL154" s="82">
        <f t="shared" si="627"/>
        <v>0</v>
      </c>
      <c r="AM154" s="77">
        <f t="shared" si="628"/>
        <v>0</v>
      </c>
      <c r="AN154" s="77">
        <f t="shared" si="629"/>
        <v>0</v>
      </c>
      <c r="AO154" s="77">
        <f t="shared" si="630"/>
        <v>0</v>
      </c>
      <c r="AP154" s="77">
        <f t="shared" si="631"/>
        <v>0</v>
      </c>
      <c r="AQ154" s="83">
        <f t="shared" si="632"/>
        <v>0</v>
      </c>
      <c r="AR154" s="78"/>
    </row>
    <row r="155" spans="1:44" ht="13.5" thickBot="1">
      <c r="A155" s="43" t="s">
        <v>81</v>
      </c>
      <c r="B155" s="7"/>
      <c r="C155" s="7"/>
      <c r="D155" s="7"/>
      <c r="E155" s="9"/>
      <c r="F155" s="9"/>
      <c r="G155" s="141"/>
      <c r="H155" s="141"/>
      <c r="I155" s="141"/>
      <c r="J155" s="141"/>
      <c r="K155" s="141"/>
      <c r="L155" s="7"/>
      <c r="M155" s="9">
        <f>SUM(M148:M154)</f>
        <v>4058</v>
      </c>
      <c r="N155" s="275" t="s">
        <v>77</v>
      </c>
      <c r="O155" s="276"/>
      <c r="P155" s="277"/>
      <c r="Q155" s="109"/>
      <c r="R155" s="182"/>
      <c r="S155" s="187"/>
      <c r="T155" s="187"/>
      <c r="U155" s="187"/>
      <c r="V155" s="24"/>
      <c r="W155" s="18"/>
      <c r="X155" s="18"/>
      <c r="Y155" s="18"/>
      <c r="Z155" s="18"/>
      <c r="AA155" s="86"/>
      <c r="AB155" s="11">
        <f>SUM(AB148:AB154)</f>
        <v>8</v>
      </c>
      <c r="AC155" s="11">
        <f>SUM(AC148:AC154)</f>
        <v>26</v>
      </c>
      <c r="AD155" s="11">
        <f>O155*SUM(AD148:AD154)</f>
        <v>0</v>
      </c>
      <c r="AE155" s="11">
        <f>SUM(AE148:AE154)</f>
        <v>0</v>
      </c>
      <c r="AF155" s="11">
        <f>SUM(AF148:AF154)</f>
        <v>0</v>
      </c>
      <c r="AG155" s="7"/>
      <c r="AH155" s="8">
        <f>SUM(AG148:AG154)</f>
        <v>3710</v>
      </c>
      <c r="AI155" s="184">
        <f>(Shop*AB155)+M_Tech*AC155+CMM*AD155+ENG*AE155+DES*AF155+AH155</f>
        <v>7768</v>
      </c>
      <c r="AJ155" s="9"/>
      <c r="AK155" s="8">
        <f>Shop*AL155+M_Tech*AM155+CMM*AN155+ENG*AO155+DES*AP155+AR155</f>
        <v>0</v>
      </c>
      <c r="AL155" s="183">
        <f>SUM(AL148:AL154)</f>
        <v>0</v>
      </c>
      <c r="AM155" s="11">
        <f>SUM(AM148:AM154)</f>
        <v>0</v>
      </c>
      <c r="AN155" s="11">
        <f>AB155*SUM(AN148:AN154)</f>
        <v>0</v>
      </c>
      <c r="AO155" s="11">
        <f>SUM(AO148:AO154)</f>
        <v>0</v>
      </c>
      <c r="AP155" s="11">
        <f>SUM(AP148:AP154)</f>
        <v>0</v>
      </c>
      <c r="AQ155" s="7"/>
      <c r="AR155" s="8">
        <f>SUM(AQ148:AQ154)</f>
        <v>0</v>
      </c>
    </row>
    <row r="156" spans="1:44" ht="13.5" thickBot="1">
      <c r="J156" s="132"/>
      <c r="K156" s="132"/>
      <c r="N156"/>
      <c r="O156" s="70"/>
      <c r="P156" s="101"/>
      <c r="Q156" s="90"/>
      <c r="R156" s="90"/>
      <c r="S156" s="189"/>
      <c r="T156" s="189"/>
      <c r="U156" s="189"/>
      <c r="V156" s="91"/>
      <c r="W156" s="92"/>
      <c r="X156" s="92"/>
      <c r="Y156" s="92"/>
      <c r="Z156" s="92">
        <f>SUM(Z5:Z155)</f>
        <v>0</v>
      </c>
      <c r="AA156" s="93"/>
      <c r="AB156" s="5">
        <f>AB19+AB68+AB125+AB155+AB145</f>
        <v>674</v>
      </c>
      <c r="AC156" s="5">
        <f>AC19+AC68+AC125+AC155+AC145</f>
        <v>628</v>
      </c>
      <c r="AD156" s="5">
        <f>AD19+AD68+AD125+AD155+AD145</f>
        <v>92</v>
      </c>
      <c r="AE156" s="5">
        <f>AE19+AE68+AE125+AE155+AE145</f>
        <v>416</v>
      </c>
      <c r="AF156" s="5">
        <f>AF19+AF68+AF125+AF155+AF145</f>
        <v>0</v>
      </c>
      <c r="AG156" s="4"/>
      <c r="AH156" s="6">
        <f>SUM(AH4:AH155)</f>
        <v>49042.5</v>
      </c>
      <c r="AI156" s="48"/>
      <c r="AJ156" s="48"/>
      <c r="AL156" s="84">
        <f>AL19+AL68+AL125+AL155+AL145</f>
        <v>103.6</v>
      </c>
      <c r="AM156" s="5">
        <f>AM19+AM68+AM125+AM155+AM145</f>
        <v>197</v>
      </c>
      <c r="AN156" s="5">
        <f>AN19+AN68+AN125+AN155+AN145</f>
        <v>112</v>
      </c>
      <c r="AO156" s="5">
        <f>AO19+AO68+AO125+AO155+AO145</f>
        <v>92</v>
      </c>
      <c r="AP156" s="5">
        <f>AP19+AP68+AP125+AP155+AP145</f>
        <v>0</v>
      </c>
      <c r="AQ156" s="4"/>
      <c r="AR156" s="6">
        <f>SUM(AR4:AR155)</f>
        <v>7229</v>
      </c>
    </row>
    <row r="157" spans="1:44">
      <c r="A157" s="33"/>
      <c r="B157" s="33"/>
      <c r="C157" s="33"/>
      <c r="D157" s="33"/>
      <c r="E157" s="121"/>
      <c r="F157" s="121"/>
      <c r="G157" s="147"/>
      <c r="H157" s="148"/>
      <c r="I157" s="148"/>
      <c r="J157" s="149"/>
      <c r="K157" s="149"/>
      <c r="L157" s="1"/>
      <c r="M157" s="1"/>
      <c r="N157" s="23"/>
      <c r="O157" s="1"/>
      <c r="P157" s="1"/>
      <c r="V157" s="12"/>
      <c r="W157" s="17"/>
      <c r="X157" s="17"/>
      <c r="Y157" s="17"/>
      <c r="Z157" s="17"/>
      <c r="AA157" s="45"/>
      <c r="AB157" s="12" t="s">
        <v>11</v>
      </c>
      <c r="AC157" s="12" t="s">
        <v>10</v>
      </c>
      <c r="AD157" s="12" t="s">
        <v>38</v>
      </c>
      <c r="AE157" s="12" t="s">
        <v>31</v>
      </c>
      <c r="AF157" s="12" t="s">
        <v>32</v>
      </c>
      <c r="AG157" s="1"/>
      <c r="AH157" s="12" t="s">
        <v>16</v>
      </c>
      <c r="AI157" s="12"/>
      <c r="AJ157" s="12"/>
      <c r="AL157" s="12" t="s">
        <v>11</v>
      </c>
      <c r="AM157" s="12" t="s">
        <v>10</v>
      </c>
      <c r="AN157" s="12" t="s">
        <v>38</v>
      </c>
      <c r="AO157" s="12" t="s">
        <v>31</v>
      </c>
      <c r="AP157" s="12" t="s">
        <v>32</v>
      </c>
      <c r="AQ157" s="1"/>
      <c r="AR157" s="12" t="s">
        <v>16</v>
      </c>
    </row>
    <row r="158" spans="1:44" ht="13.5" thickBot="1">
      <c r="A158" s="25"/>
      <c r="B158" s="33"/>
      <c r="C158" s="33"/>
      <c r="D158" s="33"/>
      <c r="E158" s="121"/>
      <c r="F158" s="121"/>
      <c r="G158" s="147"/>
      <c r="H158" s="148"/>
      <c r="I158" s="148"/>
      <c r="J158" s="149"/>
      <c r="K158" s="149"/>
      <c r="L158" s="1"/>
      <c r="M158" s="30"/>
      <c r="N158" s="23"/>
      <c r="O158" s="28"/>
      <c r="P158" s="28"/>
      <c r="V158" s="12"/>
      <c r="W158" s="17"/>
      <c r="X158" s="17"/>
      <c r="Y158" s="17"/>
      <c r="Z158" s="17"/>
      <c r="AA158" s="45"/>
      <c r="AB158" s="12"/>
      <c r="AC158" s="12"/>
      <c r="AD158" s="12"/>
      <c r="AE158" s="12"/>
      <c r="AF158" s="12"/>
    </row>
    <row r="159" spans="1:44" ht="13.5" thickBot="1">
      <c r="A159" s="25"/>
      <c r="B159" s="15"/>
      <c r="C159" s="15"/>
      <c r="D159" s="15"/>
      <c r="E159" s="122"/>
      <c r="F159" s="122"/>
      <c r="G159" s="150"/>
      <c r="AG159" s="12" t="s">
        <v>86</v>
      </c>
      <c r="AH159" s="21">
        <f>(AB156*Shop)+(AC156*M_Tech)+(AD156*CMM)+(AE156*ENG)+(AF156*DES)+AH156+(Shop*AL156)+(M_Tech*AM156)+(CMM*AN156)+(ENG*AO156)+(DES*AP156)+AR156</f>
        <v>353659.7</v>
      </c>
      <c r="AI159" s="49">
        <f>AH173+AR173</f>
        <v>321194.5</v>
      </c>
      <c r="AJ159" s="49"/>
      <c r="AK159" s="172" t="s">
        <v>85</v>
      </c>
    </row>
    <row r="160" spans="1:44" ht="13.5" thickBot="1">
      <c r="A160" s="25"/>
      <c r="B160" s="15"/>
      <c r="C160" s="15"/>
      <c r="D160" s="15"/>
      <c r="E160" s="122"/>
      <c r="F160" s="122"/>
      <c r="G160" s="150"/>
      <c r="O160" s="85">
        <v>2009</v>
      </c>
      <c r="Q160" s="108" t="s">
        <v>48</v>
      </c>
      <c r="U160" s="186" t="s">
        <v>322</v>
      </c>
      <c r="V160" s="268">
        <f>SUMIF($T$5:$T$154,CONCATENATE(Q160,U160,O160),$O$5:$O$154)</f>
        <v>26740</v>
      </c>
      <c r="W160" s="268">
        <f>SUMIF($T$5:$T$154,CONCATENATE(Q160,U160,X160),$O$5:$O$154)</f>
        <v>0</v>
      </c>
      <c r="X160" s="85" t="s">
        <v>56</v>
      </c>
    </row>
    <row r="161" spans="1:44" ht="15.75" thickTop="1">
      <c r="A161" s="25"/>
      <c r="B161" s="15"/>
      <c r="C161" s="15"/>
      <c r="D161" s="15"/>
      <c r="E161" s="122"/>
      <c r="F161" s="122"/>
      <c r="G161" s="150"/>
      <c r="O161" s="85">
        <v>2009</v>
      </c>
      <c r="Q161" s="108" t="s">
        <v>48</v>
      </c>
      <c r="U161" s="186" t="s">
        <v>321</v>
      </c>
      <c r="V161" s="268">
        <f t="shared" ref="V161:V165" si="633">SUMIF($T$5:$T$154,CONCATENATE(Q161,U161,O161),$O$5:$O$154)</f>
        <v>46973</v>
      </c>
      <c r="W161" s="268">
        <f t="shared" ref="W161:W165" si="634">SUMIF($T$5:$T$154,CONCATENATE(Q161,U161,X161),$O$5:$O$154)</f>
        <v>19980</v>
      </c>
      <c r="X161" s="85" t="s">
        <v>56</v>
      </c>
      <c r="AB161" s="290" t="s">
        <v>50</v>
      </c>
      <c r="AC161" s="291"/>
      <c r="AD161" s="291"/>
      <c r="AE161" s="291"/>
      <c r="AF161" s="291"/>
      <c r="AG161" s="291"/>
      <c r="AH161" s="292"/>
      <c r="AI161" s="47"/>
      <c r="AJ161" s="47"/>
      <c r="AL161" s="293" t="s">
        <v>51</v>
      </c>
      <c r="AM161" s="294"/>
      <c r="AN161" s="294"/>
      <c r="AO161" s="294"/>
      <c r="AP161" s="294"/>
      <c r="AQ161" s="294"/>
      <c r="AR161" s="295"/>
    </row>
    <row r="162" spans="1:44">
      <c r="A162" s="15"/>
      <c r="B162" s="15"/>
      <c r="C162" s="15"/>
      <c r="D162" s="15"/>
      <c r="E162" s="122"/>
      <c r="F162" s="122"/>
      <c r="G162" s="150"/>
      <c r="O162" s="85">
        <v>2009</v>
      </c>
      <c r="Q162" s="108" t="s">
        <v>48</v>
      </c>
      <c r="U162" s="186" t="s">
        <v>319</v>
      </c>
      <c r="V162" s="268">
        <f t="shared" si="633"/>
        <v>3700</v>
      </c>
      <c r="W162" s="268">
        <f t="shared" si="634"/>
        <v>0</v>
      </c>
      <c r="X162" s="85" t="s">
        <v>56</v>
      </c>
      <c r="AA162" s="46" t="s">
        <v>52</v>
      </c>
      <c r="AB162" s="50" t="s">
        <v>11</v>
      </c>
      <c r="AC162" s="22" t="s">
        <v>10</v>
      </c>
      <c r="AD162" s="22" t="s">
        <v>38</v>
      </c>
      <c r="AE162" s="22" t="s">
        <v>31</v>
      </c>
      <c r="AF162" s="22" t="s">
        <v>32</v>
      </c>
      <c r="AG162" s="22" t="s">
        <v>16</v>
      </c>
      <c r="AH162" s="51"/>
      <c r="AL162" s="61" t="s">
        <v>11</v>
      </c>
      <c r="AM162" s="22" t="s">
        <v>10</v>
      </c>
      <c r="AN162" s="22" t="s">
        <v>38</v>
      </c>
      <c r="AO162" s="22" t="s">
        <v>31</v>
      </c>
      <c r="AP162" s="22" t="s">
        <v>32</v>
      </c>
      <c r="AQ162" s="22" t="s">
        <v>16</v>
      </c>
      <c r="AR162" s="62"/>
    </row>
    <row r="163" spans="1:44">
      <c r="A163" s="15"/>
      <c r="B163" s="15"/>
      <c r="C163" s="15"/>
      <c r="D163" s="15"/>
      <c r="E163" s="122"/>
      <c r="F163" s="122"/>
      <c r="G163" s="150"/>
      <c r="O163" s="85">
        <v>2009</v>
      </c>
      <c r="Q163" s="108" t="s">
        <v>48</v>
      </c>
      <c r="U163" s="186" t="s">
        <v>323</v>
      </c>
      <c r="V163" s="268">
        <f t="shared" si="633"/>
        <v>30764</v>
      </c>
      <c r="W163" s="268">
        <f t="shared" si="634"/>
        <v>0</v>
      </c>
      <c r="X163" s="85" t="s">
        <v>56</v>
      </c>
      <c r="AA163" s="44">
        <v>2008</v>
      </c>
      <c r="AB163" s="52">
        <f>SUMIF($AA$5:$AA155,$AA163,AB$5:AB155)</f>
        <v>0</v>
      </c>
      <c r="AC163" s="53">
        <f>SUMIF($AA$5:$AA155,$AA163,AC$5:AC155)</f>
        <v>0</v>
      </c>
      <c r="AD163" s="53">
        <f>SUMIF($AA$5:$AA155,$AA163,AD$5:AD155)</f>
        <v>0</v>
      </c>
      <c r="AE163" s="53">
        <f>SUMIF($AA$5:$AA155,$AA163,AE$5:AE155)</f>
        <v>0</v>
      </c>
      <c r="AF163" s="53">
        <f>SUMIF($AA$5:$AA155,$AA163,AF$5:AF155)</f>
        <v>0</v>
      </c>
      <c r="AG163" s="54">
        <f>SUMIF($AA$5:$AA155,$AA163,AG$5:AG155)</f>
        <v>0</v>
      </c>
      <c r="AH163" s="51"/>
      <c r="AK163" s="193">
        <f>AA163</f>
        <v>2008</v>
      </c>
      <c r="AL163" s="63">
        <f>SUMIF($AA$5:$AA155,$AA163,AL$5:AL155)</f>
        <v>0</v>
      </c>
      <c r="AM163" s="53">
        <f>SUMIF($AA$5:$AA155,$AA163,AM$5:AM155)</f>
        <v>0</v>
      </c>
      <c r="AN163" s="53">
        <f>SUMIF($AA$5:$AA155,$AA163,AN$5:AN155)</f>
        <v>0</v>
      </c>
      <c r="AO163" s="53">
        <f>SUMIF($AA$5:$AA155,$AA163,AO$5:AO155)</f>
        <v>0</v>
      </c>
      <c r="AP163" s="53">
        <f>SUMIF($AA$5:$AA155,$AA163,AP$5:AP155)</f>
        <v>0</v>
      </c>
      <c r="AQ163" s="54">
        <f>SUMIF($AA$5:$AA155,$AA163,AQ$5:AQ155)</f>
        <v>0</v>
      </c>
      <c r="AR163" s="62"/>
    </row>
    <row r="164" spans="1:44">
      <c r="A164" s="15"/>
      <c r="B164" s="34"/>
      <c r="C164" s="34"/>
      <c r="D164" s="34"/>
      <c r="E164" s="123"/>
      <c r="F164" s="123"/>
      <c r="G164" s="151"/>
      <c r="O164" s="85">
        <v>2009</v>
      </c>
      <c r="Q164" s="108" t="s">
        <v>48</v>
      </c>
      <c r="U164" s="186" t="s">
        <v>324</v>
      </c>
      <c r="V164" s="268">
        <f t="shared" si="633"/>
        <v>117009</v>
      </c>
      <c r="W164" s="268">
        <f t="shared" si="634"/>
        <v>7668</v>
      </c>
      <c r="X164" s="85" t="s">
        <v>56</v>
      </c>
      <c r="AA164" s="44">
        <v>2009</v>
      </c>
      <c r="AB164" s="52">
        <f>SUMIF($AA$5:$AA156,$AA164,AB$5:AB156)</f>
        <v>500</v>
      </c>
      <c r="AC164" s="53">
        <f>SUMIF($AA$5:$AA156,$AA164,AC$5:AC156)</f>
        <v>628</v>
      </c>
      <c r="AD164" s="53">
        <f>SUMIF($AA$5:$AA156,$AA164,AD$5:AD156)</f>
        <v>92</v>
      </c>
      <c r="AE164" s="53">
        <f>SUMIF($AA$5:$AA154,$AA164,AE$5:AE154)</f>
        <v>416</v>
      </c>
      <c r="AF164" s="53">
        <f>SUMIF($AA$5:$AA156,$AA164,AF$5:AF156)</f>
        <v>0</v>
      </c>
      <c r="AG164" s="54">
        <f>SUMIF($AA$5:$AA156,$AA164,AG$5:AG156)</f>
        <v>43492.5</v>
      </c>
      <c r="AH164" s="51"/>
      <c r="AK164" s="193">
        <f t="shared" ref="AK164:AK167" si="635">AA164</f>
        <v>2009</v>
      </c>
      <c r="AL164" s="63">
        <f>SUMIF($AA$5:$AA156,$AA164,AL$5:AL156)</f>
        <v>72</v>
      </c>
      <c r="AM164" s="53">
        <f>SUMIF($AA$5:$AA156,$AA164,AM$5:AM156)</f>
        <v>197</v>
      </c>
      <c r="AN164" s="53">
        <f>SUMIF($AA$5:$AA156,$AA164,AN$5:AN156)</f>
        <v>112</v>
      </c>
      <c r="AO164" s="53">
        <f>SUMIF($AA$5:$AA156,$AA164,AO$5:AO156)</f>
        <v>92</v>
      </c>
      <c r="AP164" s="53">
        <f>SUMIF($AA$5:$AA156,$AA164,AP$5:AP156)</f>
        <v>0</v>
      </c>
      <c r="AQ164" s="54">
        <f>SUMIF($AA$5:$AA156,$AA164,AQ$5:AQ156)</f>
        <v>6425</v>
      </c>
      <c r="AR164" s="62"/>
    </row>
    <row r="165" spans="1:44">
      <c r="A165" s="15"/>
      <c r="B165" s="34"/>
      <c r="C165" s="34"/>
      <c r="D165" s="34"/>
      <c r="E165" s="123"/>
      <c r="F165" s="123"/>
      <c r="G165" s="151"/>
      <c r="O165" s="85">
        <v>2009</v>
      </c>
      <c r="Q165" s="108" t="s">
        <v>48</v>
      </c>
      <c r="U165" s="186" t="s">
        <v>320</v>
      </c>
      <c r="V165" s="268">
        <f t="shared" si="633"/>
        <v>33424.5</v>
      </c>
      <c r="W165" s="268">
        <f t="shared" si="634"/>
        <v>0</v>
      </c>
      <c r="X165" s="85" t="s">
        <v>56</v>
      </c>
      <c r="AA165" s="44">
        <v>2010</v>
      </c>
      <c r="AB165" s="52">
        <f>SUMIF($AA$5:$AA157,$AA165,AB$5:AB157)</f>
        <v>0</v>
      </c>
      <c r="AC165" s="53">
        <f>SUMIF($AA$5:$AA157,$AA165,AC$5:AC157)</f>
        <v>0</v>
      </c>
      <c r="AD165" s="53">
        <f>SUMIF($AA$5:$AA157,$AA165,AD$5:AD157)</f>
        <v>0</v>
      </c>
      <c r="AE165" s="53">
        <f>SUMIF($AA$5:$AA157,$AA165,AE$5:AE157)</f>
        <v>0</v>
      </c>
      <c r="AF165" s="53">
        <f>SUMIF($AA$5:$AA157,$AA165,AF$5:AF157)</f>
        <v>0</v>
      </c>
      <c r="AG165" s="54">
        <f>SUMIF($AA$5:$AA157,$AA165,AG$5:AG157)</f>
        <v>0</v>
      </c>
      <c r="AH165" s="51"/>
      <c r="AK165" s="193">
        <f t="shared" si="635"/>
        <v>2010</v>
      </c>
      <c r="AL165" s="63">
        <f>SUMIF($AA$5:$AA157,$AA165,AL$5:AL157)</f>
        <v>0</v>
      </c>
      <c r="AM165" s="53">
        <f>SUMIF($AA$5:$AA157,$AA165,AM$5:AM157)</f>
        <v>0</v>
      </c>
      <c r="AN165" s="53">
        <f>SUMIF($AA$5:$AA157,$AA165,AN$5:AN157)</f>
        <v>0</v>
      </c>
      <c r="AO165" s="53">
        <f>SUMIF($AA$5:$AA157,$AA165,AO$5:AO157)</f>
        <v>0</v>
      </c>
      <c r="AP165" s="53">
        <f>SUMIF($AA$5:$AA157,$AA165,AP$5:AP157)</f>
        <v>0</v>
      </c>
      <c r="AQ165" s="54">
        <f>SUMIF($AA$5:$AA157,$AA165,AQ$5:AQ157)</f>
        <v>0</v>
      </c>
      <c r="AR165" s="62"/>
    </row>
    <row r="166" spans="1:44">
      <c r="A166" s="15"/>
      <c r="B166" s="34"/>
      <c r="C166" s="34"/>
      <c r="D166" s="34"/>
      <c r="E166" s="123"/>
      <c r="F166" s="123"/>
      <c r="G166" s="151"/>
      <c r="V166" s="268">
        <f>SUM(V160:V165)</f>
        <v>258610.5</v>
      </c>
      <c r="W166" s="268">
        <f>SUM(W160:W165)</f>
        <v>27648</v>
      </c>
      <c r="AA166" s="46" t="s">
        <v>56</v>
      </c>
      <c r="AB166" s="52">
        <f>SUMIF($AA$5:$AA158,$AA166,AB$5:AB158)</f>
        <v>174</v>
      </c>
      <c r="AC166" s="53">
        <f>SUMIF($AA$5:$AA158,$AA166,AC$5:AC158)</f>
        <v>0</v>
      </c>
      <c r="AD166" s="53">
        <f>SUMIF($AA$5:$AA158,$AA166,AD$5:AD158)</f>
        <v>0</v>
      </c>
      <c r="AE166" s="53">
        <f>SUMIF($AA$5:$AA158,$AA166,AE$5:AE158)</f>
        <v>0</v>
      </c>
      <c r="AF166" s="53">
        <f>SUMIF($AA$5:$AA158,$AA166,AF$5:AF158)</f>
        <v>0</v>
      </c>
      <c r="AG166" s="54">
        <f>SUMIF($AA$5:$AA158,$AA166,AG$5:AG158)</f>
        <v>5550</v>
      </c>
      <c r="AH166" s="51"/>
      <c r="AK166" s="193" t="str">
        <f t="shared" si="635"/>
        <v>Hytec</v>
      </c>
      <c r="AL166" s="63">
        <f>SUMIF($AA$5:$AA158,$AA166,AL$5:AL158)</f>
        <v>31.6</v>
      </c>
      <c r="AM166" s="53">
        <f>SUMIF($AA$5:$AA158,$AA166,AM$5:AM158)</f>
        <v>0</v>
      </c>
      <c r="AN166" s="53">
        <f>SUMIF($AA$5:$AA158,$AA166,AN$5:AN158)</f>
        <v>0</v>
      </c>
      <c r="AO166" s="53">
        <f>SUMIF($AA$5:$AA158,$AA166,AO$5:AO158)</f>
        <v>0</v>
      </c>
      <c r="AP166" s="53">
        <f>SUMIF($AA$5:$AA158,$AA166,AP$5:AP158)</f>
        <v>0</v>
      </c>
      <c r="AQ166" s="54">
        <f>SUMIF($AA$5:$AA158,$AA166,AQ$5:AQ158)</f>
        <v>804</v>
      </c>
      <c r="AR166" s="62"/>
    </row>
    <row r="167" spans="1:44">
      <c r="A167" s="15"/>
      <c r="B167" s="35"/>
      <c r="C167" s="35"/>
      <c r="D167" s="35"/>
      <c r="E167" s="124"/>
      <c r="F167" s="122"/>
      <c r="G167" s="152"/>
      <c r="O167" s="85">
        <v>2009</v>
      </c>
      <c r="Q167" s="108" t="s">
        <v>49</v>
      </c>
      <c r="U167" s="186" t="s">
        <v>322</v>
      </c>
      <c r="V167" s="268">
        <f>SUMIF($T$5:$T$154,CONCATENATE(Q167,U167,O167),$O$5:$O$154)</f>
        <v>0</v>
      </c>
      <c r="W167" s="268">
        <f>SUMIF($T$5:$T$154,CONCATENATE(Q167,U167,X167),$O$5:$O$154)</f>
        <v>0</v>
      </c>
      <c r="X167" s="85" t="s">
        <v>56</v>
      </c>
      <c r="AA167" s="46" t="s">
        <v>57</v>
      </c>
      <c r="AB167" s="52">
        <f>SUMIF($AA$5:$AA157,$AA167,AB$5:AB157)</f>
        <v>0</v>
      </c>
      <c r="AC167" s="53">
        <f>SUMIF($AA$5:$AA157,$AA167,AC$5:AC157)</f>
        <v>0</v>
      </c>
      <c r="AD167" s="53">
        <f>SUMIF($AA$5:$AA157,$AA167,AD$5:AD157)</f>
        <v>0</v>
      </c>
      <c r="AE167" s="53">
        <f>SUMIF($AA$5:$AA157,$AA167,AE$5:AE157)</f>
        <v>0</v>
      </c>
      <c r="AF167" s="53">
        <f>SUMIF($AA$5:$AA157,$AA167,AF$5:AF157)</f>
        <v>0</v>
      </c>
      <c r="AG167" s="54">
        <f>SUMIF($AA$5:$AA157,$AA167,AG$5:AG157)</f>
        <v>0</v>
      </c>
      <c r="AH167" s="51"/>
      <c r="AK167" s="193" t="str">
        <f t="shared" si="635"/>
        <v>LANL</v>
      </c>
      <c r="AL167" s="63">
        <f>SUMIF($AA$5:$AA157,$AA167,AL$5:AL157)</f>
        <v>0</v>
      </c>
      <c r="AM167" s="53">
        <f>SUMIF($AA$5:$AA157,$AA167,AM$5:AM157)</f>
        <v>0</v>
      </c>
      <c r="AN167" s="53">
        <f>SUMIF($AA$5:$AA157,$AA167,AN$5:AN157)</f>
        <v>0</v>
      </c>
      <c r="AO167" s="53">
        <f>SUMIF($AA$5:$AA157,$AA167,AO$5:AO157)</f>
        <v>0</v>
      </c>
      <c r="AP167" s="53">
        <f>SUMIF($AA$5:$AA157,$AA167,AP$5:AP157)</f>
        <v>0</v>
      </c>
      <c r="AQ167" s="54">
        <f>SUMIF($AA$5:$AA157,$AA167,AQ$5:AQ157)</f>
        <v>0</v>
      </c>
      <c r="AR167" s="62"/>
    </row>
    <row r="168" spans="1:44" ht="15.75">
      <c r="A168" s="15"/>
      <c r="B168" s="15"/>
      <c r="C168" s="15"/>
      <c r="D168" s="15"/>
      <c r="E168" s="122"/>
      <c r="F168" s="122"/>
      <c r="G168" s="153"/>
      <c r="O168" s="85">
        <v>2009</v>
      </c>
      <c r="Q168" s="108" t="s">
        <v>49</v>
      </c>
      <c r="U168" s="186" t="s">
        <v>321</v>
      </c>
      <c r="V168" s="268">
        <f t="shared" ref="V168:V172" si="636">SUMIF($T$5:$T$154,CONCATENATE(Q168,U168,O168),$O$5:$O$154)</f>
        <v>8149</v>
      </c>
      <c r="W168" s="268">
        <f t="shared" ref="W168:W172" si="637">SUMIF($T$5:$T$154,CONCATENATE(Q168,U168,X168),$O$5:$O$154)</f>
        <v>3185.2</v>
      </c>
      <c r="X168" s="85" t="s">
        <v>56</v>
      </c>
      <c r="AB168" s="279" t="s">
        <v>58</v>
      </c>
      <c r="AC168" s="280"/>
      <c r="AD168" s="280"/>
      <c r="AE168" s="280"/>
      <c r="AF168" s="280"/>
      <c r="AG168" s="280"/>
      <c r="AH168" s="281"/>
      <c r="AK168" s="193"/>
      <c r="AL168" s="282" t="s">
        <v>102</v>
      </c>
      <c r="AM168" s="280"/>
      <c r="AN168" s="280"/>
      <c r="AO168" s="280"/>
      <c r="AP168" s="280"/>
      <c r="AQ168" s="280"/>
      <c r="AR168" s="283"/>
    </row>
    <row r="169" spans="1:44">
      <c r="A169" s="15"/>
      <c r="B169" s="15"/>
      <c r="C169" s="15"/>
      <c r="D169" s="15"/>
      <c r="E169" s="122"/>
      <c r="F169" s="122"/>
      <c r="G169" s="153"/>
      <c r="O169" s="85">
        <v>2009</v>
      </c>
      <c r="Q169" s="108" t="s">
        <v>49</v>
      </c>
      <c r="U169" s="186" t="s">
        <v>319</v>
      </c>
      <c r="V169" s="268">
        <f t="shared" si="636"/>
        <v>0</v>
      </c>
      <c r="W169" s="268">
        <f t="shared" si="637"/>
        <v>0</v>
      </c>
      <c r="X169" s="85" t="s">
        <v>56</v>
      </c>
      <c r="AB169" s="50" t="s">
        <v>53</v>
      </c>
      <c r="AC169" s="22" t="s">
        <v>54</v>
      </c>
      <c r="AD169" s="22" t="s">
        <v>38</v>
      </c>
      <c r="AE169" s="22" t="s">
        <v>31</v>
      </c>
      <c r="AF169" s="22" t="s">
        <v>32</v>
      </c>
      <c r="AG169" s="22" t="s">
        <v>16</v>
      </c>
      <c r="AH169" s="55" t="s">
        <v>55</v>
      </c>
      <c r="AK169" s="193"/>
      <c r="AL169" s="61" t="s">
        <v>53</v>
      </c>
      <c r="AM169" s="22" t="s">
        <v>54</v>
      </c>
      <c r="AN169" s="22" t="s">
        <v>38</v>
      </c>
      <c r="AO169" s="22" t="s">
        <v>31</v>
      </c>
      <c r="AP169" s="22" t="s">
        <v>32</v>
      </c>
      <c r="AQ169" s="22" t="s">
        <v>16</v>
      </c>
      <c r="AR169" s="64" t="s">
        <v>55</v>
      </c>
    </row>
    <row r="170" spans="1:44">
      <c r="A170" s="15"/>
      <c r="B170" s="15"/>
      <c r="C170" s="15"/>
      <c r="D170" s="15"/>
      <c r="E170" s="122"/>
      <c r="F170" s="122"/>
      <c r="G170" s="150"/>
      <c r="O170" s="85">
        <v>2009</v>
      </c>
      <c r="Q170" s="108" t="s">
        <v>49</v>
      </c>
      <c r="U170" s="186" t="s">
        <v>323</v>
      </c>
      <c r="V170" s="268">
        <f t="shared" si="636"/>
        <v>12800</v>
      </c>
      <c r="W170" s="268">
        <f t="shared" si="637"/>
        <v>0</v>
      </c>
      <c r="X170" s="85" t="s">
        <v>56</v>
      </c>
      <c r="AA170" s="44">
        <f>AA163</f>
        <v>2008</v>
      </c>
      <c r="AB170" s="56">
        <f>Shop*AB163</f>
        <v>0</v>
      </c>
      <c r="AC170" s="54">
        <f>M_Tech*AC163</f>
        <v>0</v>
      </c>
      <c r="AD170" s="54">
        <f>CMM*AD163</f>
        <v>0</v>
      </c>
      <c r="AE170" s="54">
        <f>ENG*AE163</f>
        <v>0</v>
      </c>
      <c r="AF170" s="54">
        <f>DES*AF163</f>
        <v>0</v>
      </c>
      <c r="AG170" s="54">
        <f>AG163</f>
        <v>0</v>
      </c>
      <c r="AH170" s="57">
        <f>SUM(AB170:AG170)</f>
        <v>0</v>
      </c>
      <c r="AK170" s="193">
        <f>AK163</f>
        <v>2008</v>
      </c>
      <c r="AL170" s="65">
        <f>Shop*AL163</f>
        <v>0</v>
      </c>
      <c r="AM170" s="54">
        <f>M_Tech*AM163</f>
        <v>0</v>
      </c>
      <c r="AN170" s="54">
        <f>CMM*AN163</f>
        <v>0</v>
      </c>
      <c r="AO170" s="54">
        <f>ENG*AO163</f>
        <v>0</v>
      </c>
      <c r="AP170" s="54">
        <f>DES*AP163</f>
        <v>0</v>
      </c>
      <c r="AQ170" s="54">
        <f>AQ163</f>
        <v>0</v>
      </c>
      <c r="AR170" s="66">
        <f>SUM(AL170:AQ170)</f>
        <v>0</v>
      </c>
    </row>
    <row r="171" spans="1:44">
      <c r="A171" s="15"/>
      <c r="B171" s="15"/>
      <c r="C171" s="15"/>
      <c r="D171" s="15"/>
      <c r="E171" s="122"/>
      <c r="F171" s="122"/>
      <c r="G171" s="150"/>
      <c r="O171" s="85">
        <v>2009</v>
      </c>
      <c r="Q171" s="108" t="s">
        <v>49</v>
      </c>
      <c r="U171" s="186" t="s">
        <v>324</v>
      </c>
      <c r="V171" s="268">
        <f t="shared" si="636"/>
        <v>41493</v>
      </c>
      <c r="W171" s="268">
        <f t="shared" si="637"/>
        <v>1632</v>
      </c>
      <c r="X171" s="85" t="s">
        <v>56</v>
      </c>
      <c r="AA171" s="44">
        <f>AA164</f>
        <v>2009</v>
      </c>
      <c r="AB171" s="56">
        <f>Shop*AB164</f>
        <v>63500</v>
      </c>
      <c r="AC171" s="54">
        <f>M_Tech*AC164</f>
        <v>73476</v>
      </c>
      <c r="AD171" s="54">
        <f>CMM*AD164</f>
        <v>11684</v>
      </c>
      <c r="AE171" s="54">
        <f>ENG*AE164</f>
        <v>62400</v>
      </c>
      <c r="AF171" s="54">
        <f>DES*AF164</f>
        <v>0</v>
      </c>
      <c r="AG171" s="54">
        <f>AG164</f>
        <v>43492.5</v>
      </c>
      <c r="AH171" s="57">
        <f t="shared" ref="AH171:AH172" si="638">SUM(AB171:AG171)</f>
        <v>254552.5</v>
      </c>
      <c r="AK171" s="193">
        <f>AK164</f>
        <v>2009</v>
      </c>
      <c r="AL171" s="65">
        <f>Shop*AL164</f>
        <v>9144</v>
      </c>
      <c r="AM171" s="54">
        <f>M_Tech*AM164</f>
        <v>23049</v>
      </c>
      <c r="AN171" s="54">
        <f>CMM*AN164</f>
        <v>14224</v>
      </c>
      <c r="AO171" s="54">
        <f>ENG*AO164</f>
        <v>13800</v>
      </c>
      <c r="AP171" s="54">
        <f>DES*AP164</f>
        <v>0</v>
      </c>
      <c r="AQ171" s="54">
        <f>AQ164</f>
        <v>6425</v>
      </c>
      <c r="AR171" s="66">
        <f t="shared" ref="AR171:AR172" si="639">SUM(AL171:AQ171)</f>
        <v>66642</v>
      </c>
    </row>
    <row r="172" spans="1:44" ht="13.5" thickBot="1">
      <c r="A172" s="15"/>
      <c r="B172" s="15"/>
      <c r="C172" s="15"/>
      <c r="D172" s="15"/>
      <c r="E172" s="122"/>
      <c r="F172" s="122"/>
      <c r="G172" s="150"/>
      <c r="O172" s="85">
        <v>2009</v>
      </c>
      <c r="Q172" s="108" t="s">
        <v>49</v>
      </c>
      <c r="U172" s="186" t="s">
        <v>320</v>
      </c>
      <c r="V172" s="268">
        <f t="shared" si="636"/>
        <v>4200</v>
      </c>
      <c r="W172" s="268">
        <f t="shared" si="637"/>
        <v>0</v>
      </c>
      <c r="X172" s="85" t="s">
        <v>56</v>
      </c>
      <c r="AA172" s="44">
        <f>AA165</f>
        <v>2010</v>
      </c>
      <c r="AB172" s="58">
        <f>Shop*AB165</f>
        <v>0</v>
      </c>
      <c r="AC172" s="59">
        <f>M_Tech*AC165</f>
        <v>0</v>
      </c>
      <c r="AD172" s="59">
        <f>CMM*AD165</f>
        <v>0</v>
      </c>
      <c r="AE172" s="59">
        <f>ENG*AE165</f>
        <v>0</v>
      </c>
      <c r="AF172" s="59">
        <f>DES*AF165</f>
        <v>0</v>
      </c>
      <c r="AG172" s="59">
        <f>AG165</f>
        <v>0</v>
      </c>
      <c r="AH172" s="60">
        <f t="shared" si="638"/>
        <v>0</v>
      </c>
      <c r="AK172" s="193">
        <f>AK165</f>
        <v>2010</v>
      </c>
      <c r="AL172" s="67">
        <f>Shop*AL165</f>
        <v>0</v>
      </c>
      <c r="AM172" s="68">
        <f>M_Tech*AM165</f>
        <v>0</v>
      </c>
      <c r="AN172" s="68">
        <f>CMM*AN165</f>
        <v>0</v>
      </c>
      <c r="AO172" s="68">
        <f>ENG*AO165</f>
        <v>0</v>
      </c>
      <c r="AP172" s="68">
        <f>DES*AP165</f>
        <v>0</v>
      </c>
      <c r="AQ172" s="68">
        <f>AQ165</f>
        <v>0</v>
      </c>
      <c r="AR172" s="69">
        <f t="shared" si="639"/>
        <v>0</v>
      </c>
    </row>
    <row r="173" spans="1:44" ht="15.75" thickTop="1">
      <c r="A173" s="15"/>
      <c r="B173" s="15"/>
      <c r="C173" s="15"/>
      <c r="D173" s="15"/>
      <c r="E173" s="122"/>
      <c r="F173" s="122"/>
      <c r="G173" s="150"/>
      <c r="V173" s="268">
        <f>SUM(V167:V172)</f>
        <v>66642</v>
      </c>
      <c r="W173" s="268">
        <f>SUM(W167:W172)</f>
        <v>4817.2</v>
      </c>
      <c r="AB173" s="31"/>
      <c r="AC173" s="31"/>
      <c r="AD173" s="31"/>
      <c r="AE173" s="31"/>
      <c r="AF173" s="31"/>
      <c r="AG173" s="174" t="s">
        <v>87</v>
      </c>
      <c r="AH173" s="174">
        <f>SUM(AH170:AH172)</f>
        <v>254552.5</v>
      </c>
      <c r="AL173" s="31"/>
      <c r="AM173" s="31"/>
      <c r="AN173" s="31"/>
      <c r="AO173" s="31"/>
      <c r="AP173" s="31"/>
      <c r="AQ173" s="175" t="s">
        <v>84</v>
      </c>
      <c r="AR173" s="174">
        <f>SUM(AR170:AR172)</f>
        <v>66642</v>
      </c>
    </row>
    <row r="174" spans="1:44" ht="15">
      <c r="A174" s="15"/>
      <c r="B174" s="15"/>
      <c r="C174" s="15"/>
      <c r="D174" s="15"/>
      <c r="E174" s="122"/>
      <c r="F174" s="122"/>
      <c r="G174" s="150"/>
      <c r="V174" s="268">
        <f>V166+V173</f>
        <v>325252.5</v>
      </c>
      <c r="W174" s="268">
        <f>W166+W173</f>
        <v>32465.200000000001</v>
      </c>
      <c r="AB174" s="31"/>
      <c r="AC174" s="31"/>
      <c r="AD174" s="31"/>
      <c r="AE174" s="31"/>
      <c r="AF174" s="31"/>
      <c r="AG174" s="174"/>
      <c r="AH174" s="174"/>
      <c r="AL174" s="31"/>
      <c r="AM174" s="31"/>
      <c r="AN174" s="31"/>
      <c r="AO174" s="31"/>
      <c r="AP174" s="31"/>
      <c r="AQ174" s="175" t="s">
        <v>101</v>
      </c>
      <c r="AR174" s="196">
        <f>AR173/AH173</f>
        <v>0.26180061087594897</v>
      </c>
    </row>
    <row r="175" spans="1:44" ht="13.5" thickBot="1">
      <c r="A175" s="15"/>
      <c r="B175" s="35"/>
      <c r="C175" s="15"/>
      <c r="D175" s="15"/>
      <c r="E175" s="122"/>
      <c r="F175" s="122"/>
      <c r="G175" s="150"/>
    </row>
    <row r="176" spans="1:44" ht="15.75" thickTop="1">
      <c r="A176" s="15"/>
      <c r="B176" s="15"/>
      <c r="C176" s="15"/>
      <c r="D176" s="36"/>
      <c r="E176" s="125"/>
      <c r="F176" s="122"/>
      <c r="G176" s="150"/>
      <c r="AB176" s="290" t="s">
        <v>104</v>
      </c>
      <c r="AC176" s="291"/>
      <c r="AD176" s="291"/>
      <c r="AE176" s="291"/>
      <c r="AF176" s="291"/>
      <c r="AG176" s="291"/>
      <c r="AH176" s="292"/>
      <c r="AJ176" s="190"/>
      <c r="AK176" s="44"/>
      <c r="AL176" s="290" t="s">
        <v>105</v>
      </c>
      <c r="AM176" s="291"/>
      <c r="AN176" s="291"/>
      <c r="AO176" s="291"/>
      <c r="AP176" s="291"/>
      <c r="AQ176" s="291"/>
      <c r="AR176" s="292"/>
    </row>
    <row r="177" spans="1:49">
      <c r="A177" s="15"/>
      <c r="B177" s="15"/>
      <c r="C177" s="15"/>
      <c r="D177" s="15"/>
      <c r="E177" s="122"/>
      <c r="F177" s="122"/>
      <c r="G177" s="150"/>
      <c r="AB177" s="50" t="s">
        <v>11</v>
      </c>
      <c r="AC177" s="22" t="s">
        <v>10</v>
      </c>
      <c r="AD177" s="22" t="s">
        <v>38</v>
      </c>
      <c r="AE177" s="22" t="s">
        <v>31</v>
      </c>
      <c r="AF177" s="22" t="s">
        <v>32</v>
      </c>
      <c r="AG177" s="22" t="s">
        <v>16</v>
      </c>
      <c r="AH177" s="51"/>
      <c r="AJ177" s="190"/>
      <c r="AK177" s="44"/>
      <c r="AL177" s="50" t="s">
        <v>11</v>
      </c>
      <c r="AM177" s="22" t="s">
        <v>10</v>
      </c>
      <c r="AN177" s="22" t="s">
        <v>38</v>
      </c>
      <c r="AO177" s="22" t="s">
        <v>31</v>
      </c>
      <c r="AP177" s="22" t="s">
        <v>32</v>
      </c>
      <c r="AQ177" s="22" t="s">
        <v>16</v>
      </c>
      <c r="AR177" s="51"/>
    </row>
    <row r="178" spans="1:49">
      <c r="A178" s="15"/>
      <c r="B178" s="15"/>
      <c r="C178" s="15"/>
      <c r="D178" s="15"/>
      <c r="E178" s="125"/>
      <c r="F178" s="122"/>
      <c r="G178" s="150"/>
      <c r="S178" s="190" t="s">
        <v>95</v>
      </c>
      <c r="AA178" s="44">
        <v>2008</v>
      </c>
      <c r="AB178" s="52">
        <f>SUMIF($S$5:$S154,CONCATENATE($S178,$AA178),AB$5:AB154)</f>
        <v>0</v>
      </c>
      <c r="AC178" s="53">
        <f>SUMIF($S$5:$S154,CONCATENATE($S178,$AA178),AC$5:AC154)</f>
        <v>0</v>
      </c>
      <c r="AD178" s="53">
        <f>SUMIF($S$5:$S154,CONCATENATE($S178,$AA178),AD$5:AD154)</f>
        <v>0</v>
      </c>
      <c r="AE178" s="53">
        <f>SUMIF($S$5:$S154,CONCATENATE($S178,$AA178),AE$5:AE154)</f>
        <v>0</v>
      </c>
      <c r="AF178" s="53">
        <f>SUMIF($S$5:$S154,CONCATENATE($S178,$AA178),AF$5:AF154)</f>
        <v>0</v>
      </c>
      <c r="AG178" s="53">
        <f>SUMIF($S$5:$S154,CONCATENATE($S178,$AA178),AG$5:AG154)</f>
        <v>0</v>
      </c>
      <c r="AH178" s="51"/>
      <c r="AJ178" s="190" t="s">
        <v>96</v>
      </c>
      <c r="AK178" s="44">
        <v>2008</v>
      </c>
      <c r="AL178" s="52">
        <f>SUMIF($S$5:$S154,CONCATENATE($AJ178,$AK178),AL$5:AL154)</f>
        <v>0</v>
      </c>
      <c r="AM178" s="53">
        <f>SUMIF($S$5:$S154,CONCATENATE($AJ178,$AK178),AM$5:AM154)</f>
        <v>0</v>
      </c>
      <c r="AN178" s="53">
        <f>SUMIF($S$5:$S154,CONCATENATE($AJ178,$AK178),AN$5:AN154)</f>
        <v>0</v>
      </c>
      <c r="AO178" s="53">
        <f>SUMIF($S$5:$S154,CONCATENATE($AJ178,$AK178),AO$5:AO154)</f>
        <v>0</v>
      </c>
      <c r="AP178" s="53">
        <f>SUMIF($S$5:$S154,CONCATENATE($AJ178,$AK178),AP$5:AP154)</f>
        <v>0</v>
      </c>
      <c r="AQ178" s="53">
        <f>SUMIF($S$5:$S154,CONCATENATE($AJ178,$AK178),AQ$5:AQ154)</f>
        <v>0</v>
      </c>
      <c r="AR178" s="51"/>
    </row>
    <row r="179" spans="1:49">
      <c r="A179" s="15"/>
      <c r="B179" s="15"/>
      <c r="C179" s="15"/>
      <c r="D179" s="15"/>
      <c r="E179" s="122"/>
      <c r="F179" s="122"/>
      <c r="G179" s="150"/>
      <c r="S179" s="190" t="s">
        <v>95</v>
      </c>
      <c r="AA179" s="44">
        <v>2009</v>
      </c>
      <c r="AB179" s="52">
        <f>SUMIF($S$5:$S154,CONCATENATE($S179,$AA179),AB$5:AB154)</f>
        <v>0</v>
      </c>
      <c r="AC179" s="53">
        <f>SUMIF($S$5:$S154,CONCATENATE($S179,$AA179),AC$5:AC154)</f>
        <v>0</v>
      </c>
      <c r="AD179" s="53">
        <f>SUMIF($S$5:$S154,CONCATENATE($S179,$AA179),AD$5:AD154)</f>
        <v>0</v>
      </c>
      <c r="AE179" s="53">
        <f>SUMIF($S$5:$S154,CONCATENATE($S179,$AA179),AE$5:AE154)</f>
        <v>0</v>
      </c>
      <c r="AF179" s="53">
        <f>SUMIF($S$5:$S154,CONCATENATE($S179,$AA179),AF$5:AF154)</f>
        <v>0</v>
      </c>
      <c r="AG179" s="53">
        <f>SUMIF($S$5:$S154,CONCATENATE($S179,$AA179),AG$5:AG154)</f>
        <v>0</v>
      </c>
      <c r="AH179" s="51"/>
      <c r="AJ179" s="190" t="s">
        <v>96</v>
      </c>
      <c r="AK179" s="44">
        <v>2009</v>
      </c>
      <c r="AL179" s="52">
        <f>SUMIF($S$5:$S154,CONCATENATE($AJ179,$AK179),AL$5:AL154)</f>
        <v>0</v>
      </c>
      <c r="AM179" s="53">
        <f>SUMIF($S$5:$S154,CONCATENATE($AJ179,$AK179),AM$5:AM154)</f>
        <v>0</v>
      </c>
      <c r="AN179" s="53">
        <f>SUMIF($S$5:$S154,CONCATENATE($AJ179,$AK179),AN$5:AN154)</f>
        <v>0</v>
      </c>
      <c r="AO179" s="53">
        <f>SUMIF($S$5:$S154,CONCATENATE($AJ179,$AK179),AO$5:AO154)</f>
        <v>0</v>
      </c>
      <c r="AP179" s="53">
        <f>SUMIF($S$5:$S154,CONCATENATE($AJ179,$AK179),AP$5:AP154)</f>
        <v>0</v>
      </c>
      <c r="AQ179" s="53">
        <f>SUMIF($S$5:$S154,CONCATENATE($AJ179,$AK179),AQ$5:AQ154)</f>
        <v>0</v>
      </c>
      <c r="AR179" s="51"/>
    </row>
    <row r="180" spans="1:49">
      <c r="A180" s="15"/>
      <c r="B180" s="15"/>
      <c r="C180" s="15"/>
      <c r="D180" s="15"/>
      <c r="E180" s="125"/>
      <c r="F180" s="122"/>
      <c r="G180" s="150"/>
      <c r="S180" s="190" t="s">
        <v>95</v>
      </c>
      <c r="AA180" s="44">
        <v>2010</v>
      </c>
      <c r="AB180" s="52">
        <f>SUMIF($S$5:$S154,CONCATENATE($S180,$AA180),AB$5:AB154)</f>
        <v>0</v>
      </c>
      <c r="AC180" s="53">
        <f>SUMIF($S$5:$S154,CONCATENATE($S180,$AA180),AC$5:AC154)</f>
        <v>0</v>
      </c>
      <c r="AD180" s="53">
        <f>SUMIF($S$5:$S154,CONCATENATE($S180,$AA180),AD$5:AD154)</f>
        <v>0</v>
      </c>
      <c r="AE180" s="53">
        <f>SUMIF($S$5:$S154,CONCATENATE($S180,$AA180),AE$5:AE154)</f>
        <v>0</v>
      </c>
      <c r="AF180" s="53">
        <f>SUMIF($S$5:$S154,CONCATENATE($S180,$AA180),AF$5:AF154)</f>
        <v>0</v>
      </c>
      <c r="AG180" s="53">
        <f>SUMIF($S$5:$S154,CONCATENATE($S180,$AA180),AG$5:AG154)</f>
        <v>0</v>
      </c>
      <c r="AH180" s="51"/>
      <c r="AJ180" s="190" t="s">
        <v>96</v>
      </c>
      <c r="AK180" s="44">
        <v>2010</v>
      </c>
      <c r="AL180" s="52">
        <f>SUMIF($S$5:$S154,CONCATENATE($AJ180,$AK180),AL$5:AL154)</f>
        <v>0</v>
      </c>
      <c r="AM180" s="53">
        <f>SUMIF($S$5:$S154,CONCATENATE($AJ180,$AK180),AM$5:AM154)</f>
        <v>0</v>
      </c>
      <c r="AN180" s="53">
        <f>SUMIF($S$5:$S154,CONCATENATE($AJ180,$AK180),AN$5:AN154)</f>
        <v>0</v>
      </c>
      <c r="AO180" s="53">
        <f>SUMIF($S$5:$S154,CONCATENATE($AJ180,$AK180),AO$5:AO154)</f>
        <v>0</v>
      </c>
      <c r="AP180" s="53">
        <f>SUMIF($S$5:$S154,CONCATENATE($AJ180,$AK180),AP$5:AP154)</f>
        <v>0</v>
      </c>
      <c r="AQ180" s="53">
        <f>SUMIF($S$5:$S154,CONCATENATE($AJ180,$AK180),AQ$5:AQ154)</f>
        <v>0</v>
      </c>
      <c r="AR180" s="51"/>
    </row>
    <row r="181" spans="1:49">
      <c r="A181" s="15"/>
      <c r="B181" s="15"/>
      <c r="C181" s="15"/>
      <c r="D181" s="15"/>
      <c r="E181" s="122"/>
      <c r="F181" s="122"/>
      <c r="G181" s="150"/>
      <c r="S181" s="190" t="s">
        <v>95</v>
      </c>
      <c r="AA181" s="46" t="s">
        <v>56</v>
      </c>
      <c r="AB181" s="52">
        <f>SUMIF($S$5:$S154,CONCATENATE($S181,$AA181),AB$5:AB154)</f>
        <v>0</v>
      </c>
      <c r="AC181" s="53">
        <f>SUMIF($S$5:$S154,CONCATENATE($S181,$AA181),AC$5:AC154)</f>
        <v>0</v>
      </c>
      <c r="AD181" s="53">
        <f>SUMIF($S$5:$S154,CONCATENATE($S181,$AA181),AD$5:AD154)</f>
        <v>0</v>
      </c>
      <c r="AE181" s="53">
        <f>SUMIF($S$5:$S154,CONCATENATE($S181,$AA181),AE$5:AE154)</f>
        <v>0</v>
      </c>
      <c r="AF181" s="53">
        <f>SUMIF($S$5:$S154,CONCATENATE($S181,$AA181),AF$5:AF154)</f>
        <v>0</v>
      </c>
      <c r="AG181" s="53">
        <f>SUMIF($S$5:$S154,CONCATENATE($S181,$AA181),AG$5:AG154)</f>
        <v>0</v>
      </c>
      <c r="AH181" s="51"/>
      <c r="AJ181" s="190" t="s">
        <v>96</v>
      </c>
      <c r="AK181" s="46" t="s">
        <v>56</v>
      </c>
      <c r="AL181" s="52">
        <f>SUMIF($S$5:$S154,CONCATENATE($AJ181,$AK181),AL$5:AL154)</f>
        <v>0</v>
      </c>
      <c r="AM181" s="53">
        <f>SUMIF($S$5:$S154,CONCATENATE($AJ181,$AK181),AM$5:AM154)</f>
        <v>0</v>
      </c>
      <c r="AN181" s="53">
        <f>SUMIF($S$5:$S154,CONCATENATE($AJ181,$AK181),AN$5:AN154)</f>
        <v>0</v>
      </c>
      <c r="AO181" s="53">
        <f>SUMIF($S$5:$S154,CONCATENATE($AJ181,$AK181),AO$5:AO154)</f>
        <v>0</v>
      </c>
      <c r="AP181" s="53">
        <f>SUMIF($S$5:$S154,CONCATENATE($AJ181,$AK181),AP$5:AP154)</f>
        <v>0</v>
      </c>
      <c r="AQ181" s="53">
        <f>SUMIF($S$5:$S154,CONCATENATE($AJ181,$AK181),AQ$5:AQ154)</f>
        <v>0</v>
      </c>
      <c r="AR181" s="51"/>
    </row>
    <row r="182" spans="1:49">
      <c r="A182" s="15"/>
      <c r="B182" s="15"/>
      <c r="C182" s="15"/>
      <c r="D182" s="36"/>
      <c r="E182" s="125"/>
      <c r="F182" s="122"/>
      <c r="G182" s="154"/>
      <c r="S182" s="190" t="s">
        <v>95</v>
      </c>
      <c r="AA182" s="46" t="s">
        <v>57</v>
      </c>
      <c r="AB182" s="52">
        <f>SUMIF($S$5:$S154,CONCATENATE($S182,$AA182),AB$5:AB154)</f>
        <v>0</v>
      </c>
      <c r="AC182" s="53">
        <f>SUMIF($S$5:$S154,CONCATENATE($S182,$AA182),AC$5:AC154)</f>
        <v>0</v>
      </c>
      <c r="AD182" s="53">
        <f>SUMIF($S$5:$S154,CONCATENATE($S182,$AA182),AD$5:AD154)</f>
        <v>0</v>
      </c>
      <c r="AE182" s="53">
        <f>SUMIF($S$5:$S154,CONCATENATE($S182,$AA182),AE$5:AE154)</f>
        <v>0</v>
      </c>
      <c r="AF182" s="53">
        <f>SUMIF($S$5:$S154,CONCATENATE($S182,$AA182),AF$5:AF154)</f>
        <v>0</v>
      </c>
      <c r="AG182" s="53">
        <f>SUMIF($S$5:$S154,CONCATENATE($S182,$AA182),AG$5:AG154)</f>
        <v>0</v>
      </c>
      <c r="AH182" s="51"/>
      <c r="AJ182" s="190" t="s">
        <v>96</v>
      </c>
      <c r="AK182" s="46" t="s">
        <v>57</v>
      </c>
      <c r="AL182" s="52">
        <f>SUMIF($S$5:$S154,CONCATENATE($AJ182,$AK182),AL$5:AL154)</f>
        <v>0</v>
      </c>
      <c r="AM182" s="53">
        <f>SUMIF($S$5:$S154,CONCATENATE($AJ182,$AK182),AM$5:AM154)</f>
        <v>0</v>
      </c>
      <c r="AN182" s="53">
        <f>SUMIF($S$5:$S154,CONCATENATE($AJ182,$AK182),AN$5:AN154)</f>
        <v>0</v>
      </c>
      <c r="AO182" s="53">
        <f>SUMIF($S$5:$S154,CONCATENATE($AJ182,$AK182),AO$5:AO154)</f>
        <v>0</v>
      </c>
      <c r="AP182" s="53">
        <f>SUMIF($S$5:$S154,CONCATENATE($AJ182,$AK182),AP$5:AP154)</f>
        <v>0</v>
      </c>
      <c r="AQ182" s="53">
        <f>SUMIF($S$5:$S154,CONCATENATE($AJ182,$AK182),AQ$5:AQ154)</f>
        <v>0</v>
      </c>
      <c r="AR182" s="51"/>
    </row>
    <row r="183" spans="1:49" ht="15.75">
      <c r="A183" s="15"/>
      <c r="B183" s="15"/>
      <c r="C183" s="15"/>
      <c r="D183" s="32"/>
      <c r="E183" s="122"/>
      <c r="F183" s="122"/>
      <c r="G183" s="150"/>
      <c r="AB183" s="279" t="s">
        <v>58</v>
      </c>
      <c r="AC183" s="280"/>
      <c r="AD183" s="280"/>
      <c r="AE183" s="280"/>
      <c r="AF183" s="280"/>
      <c r="AG183" s="280"/>
      <c r="AH183" s="281"/>
      <c r="AJ183" s="190"/>
      <c r="AK183" s="44"/>
      <c r="AL183" s="279" t="s">
        <v>58</v>
      </c>
      <c r="AM183" s="280"/>
      <c r="AN183" s="280"/>
      <c r="AO183" s="280"/>
      <c r="AP183" s="280"/>
      <c r="AQ183" s="280"/>
      <c r="AR183" s="281"/>
      <c r="AT183" s="52"/>
    </row>
    <row r="184" spans="1:49">
      <c r="A184" s="15"/>
      <c r="B184" s="15"/>
      <c r="C184" s="15"/>
      <c r="D184" s="32"/>
      <c r="E184" s="126"/>
      <c r="F184" s="131"/>
      <c r="G184" s="150"/>
      <c r="AB184" s="50" t="s">
        <v>53</v>
      </c>
      <c r="AC184" s="22" t="s">
        <v>54</v>
      </c>
      <c r="AD184" s="22" t="s">
        <v>38</v>
      </c>
      <c r="AE184" s="22" t="s">
        <v>31</v>
      </c>
      <c r="AF184" s="22" t="s">
        <v>32</v>
      </c>
      <c r="AG184" s="22" t="s">
        <v>16</v>
      </c>
      <c r="AH184" s="55" t="s">
        <v>55</v>
      </c>
      <c r="AJ184" s="190"/>
      <c r="AK184" s="44"/>
      <c r="AL184" s="50" t="s">
        <v>53</v>
      </c>
      <c r="AM184" s="22" t="s">
        <v>54</v>
      </c>
      <c r="AN184" s="22" t="s">
        <v>38</v>
      </c>
      <c r="AO184" s="22" t="s">
        <v>31</v>
      </c>
      <c r="AP184" s="22" t="s">
        <v>32</v>
      </c>
      <c r="AQ184" s="22" t="s">
        <v>16</v>
      </c>
      <c r="AR184" s="55" t="s">
        <v>55</v>
      </c>
    </row>
    <row r="185" spans="1:49">
      <c r="A185" s="15"/>
      <c r="B185" s="15"/>
      <c r="C185" s="15"/>
      <c r="D185" s="15"/>
      <c r="E185" s="126"/>
      <c r="F185" s="122"/>
      <c r="G185" s="150"/>
      <c r="S185" s="190" t="s">
        <v>95</v>
      </c>
      <c r="AA185" s="44">
        <f>AA178</f>
        <v>2008</v>
      </c>
      <c r="AB185" s="56">
        <f>Shop*AB178</f>
        <v>0</v>
      </c>
      <c r="AC185" s="54">
        <f>M_Tech*AC178</f>
        <v>0</v>
      </c>
      <c r="AD185" s="54">
        <f>CMM*AD178</f>
        <v>0</v>
      </c>
      <c r="AE185" s="54">
        <f>ENG*AE178</f>
        <v>0</v>
      </c>
      <c r="AF185" s="54">
        <f>DES*AF178</f>
        <v>0</v>
      </c>
      <c r="AG185" s="54">
        <f>AG178</f>
        <v>0</v>
      </c>
      <c r="AH185" s="57">
        <f>SUM(AB185:AG185)</f>
        <v>0</v>
      </c>
      <c r="AJ185" s="190" t="s">
        <v>96</v>
      </c>
      <c r="AK185" s="44">
        <f>AK178</f>
        <v>2008</v>
      </c>
      <c r="AL185" s="56">
        <f>Shop*AL178</f>
        <v>0</v>
      </c>
      <c r="AM185" s="54">
        <f>M_Tech*AM178</f>
        <v>0</v>
      </c>
      <c r="AN185" s="54">
        <f>CMM*AN178</f>
        <v>0</v>
      </c>
      <c r="AO185" s="54">
        <f>ENG*AO178</f>
        <v>0</v>
      </c>
      <c r="AP185" s="54">
        <f>DES*AP178</f>
        <v>0</v>
      </c>
      <c r="AQ185" s="54">
        <f>AQ178</f>
        <v>0</v>
      </c>
      <c r="AR185" s="57">
        <f>SUM(AL185:AQ185)</f>
        <v>0</v>
      </c>
    </row>
    <row r="186" spans="1:49">
      <c r="S186" s="190" t="s">
        <v>95</v>
      </c>
      <c r="AA186" s="44">
        <f>AA179</f>
        <v>2009</v>
      </c>
      <c r="AB186" s="56">
        <f>Shop*AB179</f>
        <v>0</v>
      </c>
      <c r="AC186" s="54">
        <f>M_Tech*AC179</f>
        <v>0</v>
      </c>
      <c r="AD186" s="54">
        <f>CMM*AD179</f>
        <v>0</v>
      </c>
      <c r="AE186" s="54">
        <f>ENG*AE179</f>
        <v>0</v>
      </c>
      <c r="AF186" s="54">
        <f>DES*AF179</f>
        <v>0</v>
      </c>
      <c r="AG186" s="54">
        <f>AG179</f>
        <v>0</v>
      </c>
      <c r="AH186" s="57">
        <f t="shared" ref="AH186:AH187" si="640">SUM(AB186:AG186)</f>
        <v>0</v>
      </c>
      <c r="AJ186" s="190" t="s">
        <v>96</v>
      </c>
      <c r="AK186" s="46">
        <v>2009</v>
      </c>
      <c r="AL186" s="56">
        <f>Shop*AL179</f>
        <v>0</v>
      </c>
      <c r="AM186" s="54">
        <f>M_Tech*AM179</f>
        <v>0</v>
      </c>
      <c r="AN186" s="54">
        <f>CMM*AN179</f>
        <v>0</v>
      </c>
      <c r="AO186" s="54">
        <f>ENG*AO179</f>
        <v>0</v>
      </c>
      <c r="AP186" s="54">
        <f>DES*AP179</f>
        <v>0</v>
      </c>
      <c r="AQ186" s="54">
        <f>AQ179</f>
        <v>0</v>
      </c>
      <c r="AR186" s="57">
        <f t="shared" ref="AR186:AR187" si="641">SUM(AL186:AQ186)</f>
        <v>0</v>
      </c>
    </row>
    <row r="187" spans="1:49" ht="13.5" thickBot="1">
      <c r="S187" s="190" t="s">
        <v>95</v>
      </c>
      <c r="AA187" s="44">
        <f>AA180</f>
        <v>2010</v>
      </c>
      <c r="AB187" s="58">
        <f>Shop*AB180</f>
        <v>0</v>
      </c>
      <c r="AC187" s="59">
        <f>M_Tech*AC180</f>
        <v>0</v>
      </c>
      <c r="AD187" s="59">
        <f>CMM*AD180</f>
        <v>0</v>
      </c>
      <c r="AE187" s="59">
        <f>ENG*AE180</f>
        <v>0</v>
      </c>
      <c r="AF187" s="59">
        <f>DES*AF180</f>
        <v>0</v>
      </c>
      <c r="AG187" s="59">
        <f>AG180</f>
        <v>0</v>
      </c>
      <c r="AH187" s="60">
        <f t="shared" si="640"/>
        <v>0</v>
      </c>
      <c r="AJ187" s="190" t="s">
        <v>96</v>
      </c>
      <c r="AK187" s="44">
        <f>AK180</f>
        <v>2010</v>
      </c>
      <c r="AL187" s="58">
        <f>Shop*AL180</f>
        <v>0</v>
      </c>
      <c r="AM187" s="59">
        <f>M_Tech*AM180</f>
        <v>0</v>
      </c>
      <c r="AN187" s="59">
        <f>CMM*AN180</f>
        <v>0</v>
      </c>
      <c r="AO187" s="59">
        <f>ENG*AO180</f>
        <v>0</v>
      </c>
      <c r="AP187" s="59">
        <f>DES*AP180</f>
        <v>0</v>
      </c>
      <c r="AQ187" s="59">
        <f>AQ180</f>
        <v>0</v>
      </c>
      <c r="AR187" s="60">
        <f t="shared" si="641"/>
        <v>0</v>
      </c>
    </row>
    <row r="188" spans="1:49" ht="15.75" thickTop="1">
      <c r="AG188" s="174" t="s">
        <v>87</v>
      </c>
      <c r="AH188" s="174">
        <f>SUM(AH185:AH187)</f>
        <v>0</v>
      </c>
      <c r="AJ188" s="190"/>
      <c r="AK188" s="13"/>
      <c r="AL188" s="16"/>
      <c r="AM188" s="16"/>
      <c r="AN188" s="16"/>
      <c r="AO188" s="16"/>
      <c r="AP188" s="44"/>
      <c r="AQ188" s="175" t="s">
        <v>84</v>
      </c>
      <c r="AR188" s="174">
        <f>SUM(AR185:AR187)</f>
        <v>0</v>
      </c>
      <c r="AV188" s="174"/>
      <c r="AW188" s="174"/>
    </row>
    <row r="189" spans="1:49">
      <c r="AQ189" s="194" t="s">
        <v>101</v>
      </c>
      <c r="AR189" s="196" t="e">
        <f>AR188/AH188</f>
        <v>#DIV/0!</v>
      </c>
    </row>
    <row r="190" spans="1:49" ht="13.5" thickBot="1"/>
    <row r="191" spans="1:49" ht="15.75" thickTop="1">
      <c r="AB191" s="290" t="s">
        <v>99</v>
      </c>
      <c r="AC191" s="291"/>
      <c r="AD191" s="291"/>
      <c r="AE191" s="291"/>
      <c r="AF191" s="291"/>
      <c r="AG191" s="291"/>
      <c r="AH191" s="292"/>
      <c r="AJ191" s="190"/>
      <c r="AK191" s="44"/>
      <c r="AL191" s="290" t="s">
        <v>100</v>
      </c>
      <c r="AM191" s="291"/>
      <c r="AN191" s="291"/>
      <c r="AO191" s="291"/>
      <c r="AP191" s="291"/>
      <c r="AQ191" s="291"/>
      <c r="AR191" s="292"/>
    </row>
    <row r="192" spans="1:49">
      <c r="AB192" s="50" t="s">
        <v>11</v>
      </c>
      <c r="AC192" s="22" t="s">
        <v>10</v>
      </c>
      <c r="AD192" s="22" t="s">
        <v>38</v>
      </c>
      <c r="AE192" s="22" t="s">
        <v>31</v>
      </c>
      <c r="AF192" s="22" t="s">
        <v>32</v>
      </c>
      <c r="AG192" s="22" t="s">
        <v>16</v>
      </c>
      <c r="AH192" s="51"/>
      <c r="AJ192" s="190"/>
      <c r="AK192" s="44"/>
      <c r="AL192" s="50" t="s">
        <v>11</v>
      </c>
      <c r="AM192" s="22" t="s">
        <v>10</v>
      </c>
      <c r="AN192" s="22" t="s">
        <v>38</v>
      </c>
      <c r="AO192" s="22" t="s">
        <v>31</v>
      </c>
      <c r="AP192" s="22" t="s">
        <v>32</v>
      </c>
      <c r="AQ192" s="22" t="s">
        <v>16</v>
      </c>
      <c r="AR192" s="51"/>
    </row>
    <row r="193" spans="19:45">
      <c r="S193" s="190" t="s">
        <v>94</v>
      </c>
      <c r="AA193" s="44">
        <v>2008</v>
      </c>
      <c r="AB193" s="52">
        <f>SUMIF($S$5:$S154,CONCATENATE($S193,$AA193),AB$5:AB154)</f>
        <v>0</v>
      </c>
      <c r="AC193" s="53">
        <f>SUMIF($S$5:$S154,CONCATENATE($S193,$AA193),AC$5:AC154)</f>
        <v>0</v>
      </c>
      <c r="AD193" s="53">
        <f>SUMIF($S$5:$S154,CONCATENATE($S193,$AA193),AD$5:AD154)</f>
        <v>0</v>
      </c>
      <c r="AE193" s="53">
        <f>SUMIF($S$5:$S154,CONCATENATE($S193,$AA193),AE$5:AE154)</f>
        <v>0</v>
      </c>
      <c r="AF193" s="53">
        <f>SUMIF($S$5:$S154,CONCATENATE($S193,$AA193),AF$5:AF154)</f>
        <v>0</v>
      </c>
      <c r="AG193" s="53">
        <f>SUMIF($S$5:$S154,CONCATENATE($S193,$AA193),AG$5:AG154)</f>
        <v>0</v>
      </c>
      <c r="AH193" s="51"/>
      <c r="AJ193" s="190" t="s">
        <v>97</v>
      </c>
      <c r="AK193" s="44">
        <v>2008</v>
      </c>
      <c r="AL193" s="52">
        <f>SUMIF($S$5:$S154,CONCATENATE($AJ193,$AK193),AL$5:AL154)</f>
        <v>0</v>
      </c>
      <c r="AM193" s="53">
        <f>SUMIF($S$5:$S154,CONCATENATE($AJ193,$AK193),AM$5:AM154)</f>
        <v>0</v>
      </c>
      <c r="AN193" s="53">
        <f>SUMIF($S$5:$S154,CONCATENATE($AJ193,$AK193),AN$5:AN154)</f>
        <v>0</v>
      </c>
      <c r="AO193" s="53">
        <f>SUMIF($S$5:$S154,CONCATENATE($AJ193,$AK193),AO$5:AO154)</f>
        <v>0</v>
      </c>
      <c r="AP193" s="53">
        <f>SUMIF($S$5:$S154,CONCATENATE($AJ193,$AK193),AP$5:AP154)</f>
        <v>0</v>
      </c>
      <c r="AQ193" s="53">
        <f>SUMIF($S$5:$S154,CONCATENATE($AJ193,$AK193),AQ$5:AQ154)</f>
        <v>0</v>
      </c>
      <c r="AR193" s="51"/>
    </row>
    <row r="194" spans="19:45">
      <c r="S194" s="190" t="s">
        <v>94</v>
      </c>
      <c r="AA194" s="44">
        <v>2009</v>
      </c>
      <c r="AB194" s="52">
        <f>SUMIF($S$4:$S154,CONCATENATE($S194,$AA194),AB$4:AB154)</f>
        <v>500</v>
      </c>
      <c r="AC194" s="53">
        <f>SUMIF($S$4:$S154,CONCATENATE($S194,$AA194),AC$4:AC154)</f>
        <v>628</v>
      </c>
      <c r="AD194" s="53">
        <f>SUMIF($S$4:$S154,CONCATENATE($S194,$AA194),AD$4:AD154)</f>
        <v>92</v>
      </c>
      <c r="AE194" s="53">
        <f>SUMIF($S$4:$S154,CONCATENATE($S194,$AA194),AE$4:AE154)</f>
        <v>416</v>
      </c>
      <c r="AF194" s="53">
        <f>SUMIF($S$4:$S154,CONCATENATE($S194,$AA194),AF$4:AF154)</f>
        <v>0</v>
      </c>
      <c r="AG194" s="53">
        <f>SUMIF($S$4:$S154,CONCATENATE($S194,$AA194),AG$4:AG154)</f>
        <v>43492.5</v>
      </c>
      <c r="AH194" s="51"/>
      <c r="AJ194" s="190" t="s">
        <v>97</v>
      </c>
      <c r="AK194" s="44">
        <v>2009</v>
      </c>
      <c r="AL194" s="52">
        <f>SUMIF($S$4:$S154,CONCATENATE($AJ194,$AK194),AL$4:AL154)</f>
        <v>72</v>
      </c>
      <c r="AM194" s="53">
        <f>SUMIF($S$4:$S154,CONCATENATE($AJ194,$AK194),AM$4:AM154)</f>
        <v>197</v>
      </c>
      <c r="AN194" s="53">
        <f>SUMIF($S$4:$S154,CONCATENATE($AJ194,$AK194),AN$4:AN154)</f>
        <v>112</v>
      </c>
      <c r="AO194" s="53">
        <f>SUMIF($S$4:$S154,CONCATENATE($AJ194,$AK194),AO$4:AO154)</f>
        <v>92</v>
      </c>
      <c r="AP194" s="53">
        <f>SUMIF($S$4:$S154,CONCATENATE($AJ194,$AK194),AP$4:AP154)</f>
        <v>0</v>
      </c>
      <c r="AQ194" s="53">
        <f>SUMIF($S$4:$S154,CONCATENATE($AJ194,$AK194),AQ$4:AQ154)</f>
        <v>6425</v>
      </c>
      <c r="AR194" s="51"/>
    </row>
    <row r="195" spans="19:45">
      <c r="S195" s="190" t="s">
        <v>94</v>
      </c>
      <c r="AA195" s="44">
        <v>2010</v>
      </c>
      <c r="AB195" s="52">
        <f>SUMIF($S$4:$S155,CONCATENATE($S195,$AA195),AB$4:AB155)</f>
        <v>0</v>
      </c>
      <c r="AC195" s="53">
        <f>SUMIF($S$4:$S155,CONCATENATE($S195,$AA195),AC$4:AC155)</f>
        <v>0</v>
      </c>
      <c r="AD195" s="53">
        <f>SUMIF($S$4:$S155,CONCATENATE($S195,$AA195),AD$4:AD155)</f>
        <v>0</v>
      </c>
      <c r="AE195" s="53">
        <f>SUMIF($S$4:$S155,CONCATENATE($S195,$AA195),AE$4:AE155)</f>
        <v>0</v>
      </c>
      <c r="AF195" s="53">
        <f>SUMIF($S$4:$S155,CONCATENATE($S195,$AA195),AF$4:AF155)</f>
        <v>0</v>
      </c>
      <c r="AG195" s="53">
        <f>SUMIF($S$4:$S155,CONCATENATE($S195,$AA195),AG$4:AG155)</f>
        <v>0</v>
      </c>
      <c r="AH195" s="51"/>
      <c r="AJ195" s="190" t="s">
        <v>97</v>
      </c>
      <c r="AK195" s="44">
        <v>2010</v>
      </c>
      <c r="AL195" s="52">
        <f>SUMIF($S$4:$S155,CONCATENATE($AJ195,$AK195),AL$4:AL155)</f>
        <v>0</v>
      </c>
      <c r="AM195" s="53">
        <f>SUMIF($S$4:$S155,CONCATENATE($AJ195,$AK195),AM$4:AM155)</f>
        <v>0</v>
      </c>
      <c r="AN195" s="53">
        <f>SUMIF($S$4:$S155,CONCATENATE($AJ195,$AK195),AN$4:AN155)</f>
        <v>0</v>
      </c>
      <c r="AO195" s="53">
        <f>SUMIF($S$4:$S155,CONCATENATE($AJ195,$AK195),AO$4:AO155)</f>
        <v>0</v>
      </c>
      <c r="AP195" s="53">
        <f>SUMIF($S$4:$S155,CONCATENATE($AJ195,$AK195),AP$4:AP155)</f>
        <v>0</v>
      </c>
      <c r="AQ195" s="53">
        <f>SUMIF($S$4:$S155,CONCATENATE($AJ195,$AK195),AQ$4:AQ155)</f>
        <v>0</v>
      </c>
      <c r="AR195" s="51"/>
    </row>
    <row r="196" spans="19:45">
      <c r="S196" s="190" t="s">
        <v>94</v>
      </c>
      <c r="AA196" s="46" t="s">
        <v>56</v>
      </c>
      <c r="AB196" s="52">
        <f>SUMIF($S$4:$S154,CONCATENATE($S196,$AA196),AB$4:AB154)</f>
        <v>174</v>
      </c>
      <c r="AC196" s="53">
        <f>SUMIF($S$4:$S154,CONCATENATE($S196,$AA196),AC$4:AC154)</f>
        <v>0</v>
      </c>
      <c r="AD196" s="53">
        <f>SUMIF($S$4:$S154,CONCATENATE($S196,$AA196),AD$4:AD154)</f>
        <v>0</v>
      </c>
      <c r="AE196" s="53">
        <f>SUMIF($S$4:$S154,CONCATENATE($S196,$AA196),AE$4:AE154)</f>
        <v>0</v>
      </c>
      <c r="AF196" s="53">
        <f>SUMIF($S$4:$S154,CONCATENATE($S196,$AA196),AF$4:AF154)</f>
        <v>0</v>
      </c>
      <c r="AG196" s="53">
        <f>SUMIF($S$4:$S154,CONCATENATE($S196,$AA196),AG$4:AG154)</f>
        <v>5550</v>
      </c>
      <c r="AH196" s="51"/>
      <c r="AJ196" s="190" t="s">
        <v>97</v>
      </c>
      <c r="AK196" s="46" t="s">
        <v>56</v>
      </c>
      <c r="AL196" s="52">
        <f>SUMIF($S$4:$S154,CONCATENATE($AJ196,$AK196),AL$4:AL154)</f>
        <v>31.6</v>
      </c>
      <c r="AM196" s="53">
        <f>SUMIF($S$4:$S154,CONCATENATE($AJ196,$AK196),AM$4:AM154)</f>
        <v>0</v>
      </c>
      <c r="AN196" s="53">
        <f>SUMIF($S$4:$S154,CONCATENATE($AJ196,$AK196),AN$4:AN154)</f>
        <v>0</v>
      </c>
      <c r="AO196" s="53">
        <f>SUMIF($S$4:$S154,CONCATENATE($AJ196,$AK196),AO$4:AO154)</f>
        <v>0</v>
      </c>
      <c r="AP196" s="53">
        <f>SUMIF($S$4:$S154,CONCATENATE($AJ196,$AK196),AP$4:AP154)</f>
        <v>0</v>
      </c>
      <c r="AQ196" s="53">
        <f>SUMIF($S$4:$S154,CONCATENATE($AJ196,$AK196),AQ$4:AQ154)</f>
        <v>804</v>
      </c>
      <c r="AR196" s="51"/>
    </row>
    <row r="197" spans="19:45">
      <c r="S197" s="190" t="s">
        <v>94</v>
      </c>
      <c r="AA197" s="46" t="s">
        <v>57</v>
      </c>
      <c r="AB197" s="52">
        <f>SUMIF($S$4:$S155,CONCATENATE($S197,$AA197),AB$4:AB155)</f>
        <v>0</v>
      </c>
      <c r="AC197" s="53">
        <f>SUMIF($S$4:$S155,CONCATENATE($S197,$AA197),AC$4:AC155)</f>
        <v>0</v>
      </c>
      <c r="AD197" s="53">
        <f>SUMIF($S$4:$S155,CONCATENATE($S197,$AA197),AD$4:AD155)</f>
        <v>0</v>
      </c>
      <c r="AE197" s="53">
        <f>SUMIF($S$4:$S155,CONCATENATE($S197,$AA197),AE$4:AE155)</f>
        <v>0</v>
      </c>
      <c r="AF197" s="53">
        <f>SUMIF($S$4:$S155,CONCATENATE($S197,$AA197),AF$4:AF155)</f>
        <v>0</v>
      </c>
      <c r="AG197" s="53">
        <f>SUMIF($S$4:$S155,CONCATENATE($S197,$AA197),AG$4:AG155)</f>
        <v>0</v>
      </c>
      <c r="AH197" s="51"/>
      <c r="AJ197" s="190" t="s">
        <v>97</v>
      </c>
      <c r="AK197" s="46" t="s">
        <v>57</v>
      </c>
      <c r="AL197" s="52">
        <f>SUMIF($S$4:$S155,CONCATENATE($AJ197,$AK197),AL$4:AL155)</f>
        <v>0</v>
      </c>
      <c r="AM197" s="53">
        <f>SUMIF($S$4:$S155,CONCATENATE($AJ197,$AK197),AM$4:AM155)</f>
        <v>0</v>
      </c>
      <c r="AN197" s="53">
        <f>SUMIF($S$4:$S155,CONCATENATE($AJ197,$AK197),AN$4:AN155)</f>
        <v>0</v>
      </c>
      <c r="AO197" s="53">
        <f>SUMIF($S$4:$S155,CONCATENATE($AJ197,$AK197),AO$4:AO155)</f>
        <v>0</v>
      </c>
      <c r="AP197" s="53">
        <f>SUMIF($S$4:$S155,CONCATENATE($AJ197,$AK197),AP$4:AP155)</f>
        <v>0</v>
      </c>
      <c r="AQ197" s="53">
        <f>SUMIF($S$4:$S155,CONCATENATE($AJ197,$AK197),AQ$4:AQ155)</f>
        <v>0</v>
      </c>
      <c r="AR197" s="51"/>
    </row>
    <row r="198" spans="19:45" ht="15.75">
      <c r="AB198" s="279" t="s">
        <v>58</v>
      </c>
      <c r="AC198" s="280"/>
      <c r="AD198" s="280"/>
      <c r="AE198" s="280"/>
      <c r="AF198" s="280"/>
      <c r="AG198" s="280"/>
      <c r="AH198" s="281"/>
      <c r="AJ198" s="190"/>
      <c r="AK198" s="44"/>
      <c r="AL198" s="279" t="s">
        <v>58</v>
      </c>
      <c r="AM198" s="280"/>
      <c r="AN198" s="280"/>
      <c r="AO198" s="280"/>
      <c r="AP198" s="280"/>
      <c r="AQ198" s="280"/>
      <c r="AR198" s="281"/>
    </row>
    <row r="199" spans="19:45">
      <c r="AB199" s="50" t="s">
        <v>53</v>
      </c>
      <c r="AC199" s="22" t="s">
        <v>54</v>
      </c>
      <c r="AD199" s="22" t="s">
        <v>38</v>
      </c>
      <c r="AE199" s="22" t="s">
        <v>31</v>
      </c>
      <c r="AF199" s="22" t="s">
        <v>32</v>
      </c>
      <c r="AG199" s="22" t="s">
        <v>16</v>
      </c>
      <c r="AH199" s="55" t="s">
        <v>55</v>
      </c>
      <c r="AJ199" s="190"/>
      <c r="AK199" s="44"/>
      <c r="AL199" s="50" t="s">
        <v>53</v>
      </c>
      <c r="AM199" s="22" t="s">
        <v>54</v>
      </c>
      <c r="AN199" s="22" t="s">
        <v>38</v>
      </c>
      <c r="AO199" s="22" t="s">
        <v>31</v>
      </c>
      <c r="AP199" s="22" t="s">
        <v>32</v>
      </c>
      <c r="AQ199" s="22" t="s">
        <v>16</v>
      </c>
      <c r="AR199" s="55" t="s">
        <v>55</v>
      </c>
    </row>
    <row r="200" spans="19:45">
      <c r="S200" s="190" t="s">
        <v>94</v>
      </c>
      <c r="AA200" s="44">
        <f>AA193</f>
        <v>2008</v>
      </c>
      <c r="AB200" s="56">
        <f>Shop*AB193</f>
        <v>0</v>
      </c>
      <c r="AC200" s="54">
        <f>M_Tech*AC193</f>
        <v>0</v>
      </c>
      <c r="AD200" s="54">
        <f>CMM*AD193</f>
        <v>0</v>
      </c>
      <c r="AE200" s="54">
        <f>ENG*AE193</f>
        <v>0</v>
      </c>
      <c r="AF200" s="54">
        <f>DES*AF193</f>
        <v>0</v>
      </c>
      <c r="AG200" s="54">
        <f>AG193</f>
        <v>0</v>
      </c>
      <c r="AH200" s="57">
        <f>SUM(AB200:AG200)</f>
        <v>0</v>
      </c>
      <c r="AJ200" s="190" t="s">
        <v>97</v>
      </c>
      <c r="AK200" s="44">
        <f>AK193</f>
        <v>2008</v>
      </c>
      <c r="AL200" s="56">
        <f>Shop*AL193</f>
        <v>0</v>
      </c>
      <c r="AM200" s="54">
        <f>M_Tech*AM193</f>
        <v>0</v>
      </c>
      <c r="AN200" s="54">
        <f>CMM*AN193</f>
        <v>0</v>
      </c>
      <c r="AO200" s="54">
        <f>ENG*AO193</f>
        <v>0</v>
      </c>
      <c r="AP200" s="54">
        <f>DES*AP193</f>
        <v>0</v>
      </c>
      <c r="AQ200" s="54">
        <f>AQ193</f>
        <v>0</v>
      </c>
      <c r="AR200" s="57">
        <f>SUM(AL200:AQ200)</f>
        <v>0</v>
      </c>
    </row>
    <row r="201" spans="19:45">
      <c r="S201" s="190" t="s">
        <v>94</v>
      </c>
      <c r="AA201" s="44">
        <f>AA194</f>
        <v>2009</v>
      </c>
      <c r="AB201" s="56">
        <f>Shop*AB194</f>
        <v>63500</v>
      </c>
      <c r="AC201" s="54">
        <f>M_Tech*AC194</f>
        <v>73476</v>
      </c>
      <c r="AD201" s="54">
        <f>CMM*AD194</f>
        <v>11684</v>
      </c>
      <c r="AE201" s="54">
        <f>ENG*AE194</f>
        <v>62400</v>
      </c>
      <c r="AF201" s="54">
        <f>DES*AF194</f>
        <v>0</v>
      </c>
      <c r="AG201" s="54">
        <f>AG194</f>
        <v>43492.5</v>
      </c>
      <c r="AH201" s="57">
        <f t="shared" ref="AH201:AH202" si="642">SUM(AB201:AG201)</f>
        <v>254552.5</v>
      </c>
      <c r="AJ201" s="190" t="s">
        <v>97</v>
      </c>
      <c r="AK201" s="44">
        <f>AK194</f>
        <v>2009</v>
      </c>
      <c r="AL201" s="56">
        <f>Shop*AL194</f>
        <v>9144</v>
      </c>
      <c r="AM201" s="54">
        <f>M_Tech*AM194</f>
        <v>23049</v>
      </c>
      <c r="AN201" s="54">
        <f>CMM*AN194</f>
        <v>14224</v>
      </c>
      <c r="AO201" s="54">
        <f>ENG*AO194</f>
        <v>13800</v>
      </c>
      <c r="AP201" s="54">
        <f>DES*AP194</f>
        <v>0</v>
      </c>
      <c r="AQ201" s="54">
        <f>AQ194</f>
        <v>6425</v>
      </c>
      <c r="AR201" s="57">
        <f t="shared" ref="AR201:AR202" si="643">SUM(AL201:AQ201)</f>
        <v>66642</v>
      </c>
    </row>
    <row r="202" spans="19:45" ht="13.5" thickBot="1">
      <c r="S202" s="190" t="s">
        <v>94</v>
      </c>
      <c r="AA202" s="44">
        <f>AA195</f>
        <v>2010</v>
      </c>
      <c r="AB202" s="58">
        <f>Shop*AB195</f>
        <v>0</v>
      </c>
      <c r="AC202" s="59">
        <f>M_Tech*AC195</f>
        <v>0</v>
      </c>
      <c r="AD202" s="59">
        <f>CMM*AD195</f>
        <v>0</v>
      </c>
      <c r="AE202" s="59">
        <f>ENG*AE195</f>
        <v>0</v>
      </c>
      <c r="AF202" s="59">
        <f>DES*AF195</f>
        <v>0</v>
      </c>
      <c r="AG202" s="59">
        <f>AG195</f>
        <v>0</v>
      </c>
      <c r="AH202" s="60">
        <f t="shared" si="642"/>
        <v>0</v>
      </c>
      <c r="AJ202" s="190" t="s">
        <v>97</v>
      </c>
      <c r="AK202" s="44">
        <f>AK195</f>
        <v>2010</v>
      </c>
      <c r="AL202" s="58">
        <f>Shop*AL195</f>
        <v>0</v>
      </c>
      <c r="AM202" s="59">
        <f>M_Tech*AM195</f>
        <v>0</v>
      </c>
      <c r="AN202" s="59">
        <f>CMM*AN195</f>
        <v>0</v>
      </c>
      <c r="AO202" s="59">
        <f>ENG*AO195</f>
        <v>0</v>
      </c>
      <c r="AP202" s="59">
        <f>DES*AP195</f>
        <v>0</v>
      </c>
      <c r="AQ202" s="59">
        <f>AQ195</f>
        <v>0</v>
      </c>
      <c r="AR202" s="60">
        <f t="shared" si="643"/>
        <v>0</v>
      </c>
    </row>
    <row r="203" spans="19:45" ht="15.75" thickTop="1">
      <c r="AG203" s="174" t="s">
        <v>87</v>
      </c>
      <c r="AH203" s="174">
        <f>SUM(AH200:AH202)</f>
        <v>254552.5</v>
      </c>
      <c r="AJ203" s="190"/>
      <c r="AK203" s="13"/>
      <c r="AL203" s="16"/>
      <c r="AM203" s="16"/>
      <c r="AN203" s="16"/>
      <c r="AO203" s="16"/>
      <c r="AP203" s="44"/>
      <c r="AQ203" s="175" t="s">
        <v>84</v>
      </c>
      <c r="AR203" s="174">
        <f>SUM(AR200:AR202)</f>
        <v>66642</v>
      </c>
    </row>
    <row r="204" spans="19:45">
      <c r="AQ204" s="194" t="s">
        <v>101</v>
      </c>
      <c r="AR204" s="196">
        <f>AR203/AH203</f>
        <v>0.26180061087594897</v>
      </c>
    </row>
    <row r="205" spans="19:45">
      <c r="AH205" s="31">
        <f>AH188+AH203</f>
        <v>254552.5</v>
      </c>
      <c r="AI205" s="40" t="s">
        <v>98</v>
      </c>
      <c r="AR205" s="31">
        <f>AR188+AR203</f>
        <v>66642</v>
      </c>
      <c r="AS205" s="40" t="s">
        <v>98</v>
      </c>
    </row>
  </sheetData>
  <mergeCells count="20">
    <mergeCell ref="AB198:AH198"/>
    <mergeCell ref="AL191:AR191"/>
    <mergeCell ref="AL198:AR198"/>
    <mergeCell ref="AB176:AH176"/>
    <mergeCell ref="AB183:AH183"/>
    <mergeCell ref="AL176:AR176"/>
    <mergeCell ref="AL183:AR183"/>
    <mergeCell ref="AB191:AH191"/>
    <mergeCell ref="AB168:AH168"/>
    <mergeCell ref="AL168:AR168"/>
    <mergeCell ref="Q2:AA2"/>
    <mergeCell ref="AB2:AH2"/>
    <mergeCell ref="AL2:AR2"/>
    <mergeCell ref="AB161:AH161"/>
    <mergeCell ref="AL161:AR161"/>
    <mergeCell ref="N155:P155"/>
    <mergeCell ref="N125:P125"/>
    <mergeCell ref="N19:P19"/>
    <mergeCell ref="N68:P68"/>
    <mergeCell ref="N145:P145"/>
  </mergeCells>
  <phoneticPr fontId="0" type="noConversion"/>
  <conditionalFormatting sqref="N69 A126:N127 N20 A148:M156 N156 A5:M20 N5:N18 N148:N154 A14:Q15 A22:N27 A68:M69 F34:M34 A84:O84 L71:M71 O71 O79 A98:N98 A100:N100 A123:A124 A64:O67 A102:N122 V14:Z15 AB14:XFD15 A96:N96 L126:O126 A146:N146 A29:N30 F31:M31 N28:N50 A28:E50 A32:N33 A10:N10 A96:A113 B96:N124 L91:N91 A73:N90 O82:O90 A92:O94 A35:N63 A129:O144 A15:N17">
    <cfRule type="expression" dxfId="4" priority="58">
      <formula>IF($N5=0,TRUE,FALSE)</formula>
    </cfRule>
  </conditionalFormatting>
  <conditionalFormatting sqref="M148:M154">
    <cfRule type="expression" dxfId="3" priority="54">
      <formula>IF($N148=0,TRUE,FALSE)</formula>
    </cfRule>
  </conditionalFormatting>
  <conditionalFormatting sqref="A95:K95">
    <cfRule type="expression" dxfId="2" priority="60">
      <formula>IF($N91=0,TRUE,FALSE)</formula>
    </cfRule>
  </conditionalFormatting>
  <conditionalFormatting sqref="A91:K91 O91">
    <cfRule type="expression" dxfId="1" priority="65">
      <formula>IF(#REF!=0,TRUE,FALSE)</formula>
    </cfRule>
  </conditionalFormatting>
  <conditionalFormatting sqref="L95:N95">
    <cfRule type="expression" dxfId="0" priority="1">
      <formula>IF($N95=0,TRUE,FALSE)</formula>
    </cfRule>
  </conditionalFormatting>
  <dataValidations count="4">
    <dataValidation type="list" allowBlank="1" showInputMessage="1" showErrorMessage="1" sqref="Q148:Q154 Q167:Q172 Q160:Q165 R91:U91 Q135:Q144 R102:U102 R114:U114 R108:U108 R35:U35 Q130:Q133 Q80:Q81 Q71:U71 Q73:Q78 Q83:Q86 Q65:Q67 R51:U51 R28:U28 R25:U25 R22:U22 Q22:Q63 Q88:Q124 Q5:Q18 R95:U95">
      <formula1>"B,C"</formula1>
    </dataValidation>
    <dataValidation type="list" allowBlank="1" showInputMessage="1" showErrorMessage="1" sqref="R148:R154 R115:R124 R135:R144 R96:R101 R92:R94 R103:R107 R109:R113 R52:R63 R36:R50 R80:R81 R83:R86 R130:R133 R73:R78 R65:R67 R26:R27 R29:R34 R23:R24 R88:R90 R5:R18">
      <formula1>"PD, PT"</formula1>
    </dataValidation>
    <dataValidation type="list" allowBlank="1" showInputMessage="1" showErrorMessage="1" sqref="AA148:AA154 AA88:AA124 AA130:AA144 AA83:AA86 AA73:AA78 AA71 AA80:AA81 AA22:AA67 AA5:AA18 O160:O165 O167:O172 X160:X165 X167:X172">
      <formula1>"2007, 2008, 2009, 2010, Hytec, LANL"</formula1>
    </dataValidation>
    <dataValidation type="list" allowBlank="1" showInputMessage="1" showErrorMessage="1" sqref="U5:U18 U26:U27 U23:U24 U29:U34 U36:U50 U52:U63 U65:U67 U73:U78 U80:U81 U83:U86 U88:U90 U92:U94 U96:U101 U103:U107 U109:U113 U115:U124 U130:U133 U135:U144 U148:U154 U167:U172 U160:U165">
      <formula1>"4.2.2,4.2.3,4.2.4,5.2.2,5.2.3,5.2.4"</formula1>
    </dataValidation>
  </dataValidations>
  <pageMargins left="0.12" right="0.13" top="0.33" bottom="0.25" header="0.18" footer="0.12"/>
  <pageSetup paperSize="160" scale="31" orientation="portrait" r:id="rId1"/>
  <headerFooter alignWithMargins="0">
    <oddHeader xml:space="preserve">&amp;LPHENIX&amp;CFull Project Estimate&amp;R25-October 2007 </oddHeader>
    <oddFooter>&amp;RE Anderssen, LBNL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3:M24"/>
  <sheetViews>
    <sheetView workbookViewId="0">
      <selection activeCell="K27" sqref="K27"/>
    </sheetView>
  </sheetViews>
  <sheetFormatPr defaultRowHeight="12.75"/>
  <cols>
    <col min="7" max="7" width="14.28515625" bestFit="1" customWidth="1"/>
  </cols>
  <sheetData>
    <row r="3" spans="2:13">
      <c r="H3" s="40" t="s">
        <v>258</v>
      </c>
      <c r="I3" s="40" t="s">
        <v>259</v>
      </c>
      <c r="J3" s="40" t="s">
        <v>260</v>
      </c>
      <c r="L3" s="236" t="s">
        <v>259</v>
      </c>
    </row>
    <row r="4" spans="2:13">
      <c r="B4" s="40" t="s">
        <v>43</v>
      </c>
      <c r="C4">
        <v>127</v>
      </c>
      <c r="G4" s="40" t="s">
        <v>6</v>
      </c>
      <c r="H4" s="40" t="s">
        <v>261</v>
      </c>
      <c r="I4" s="40" t="s">
        <v>262</v>
      </c>
      <c r="J4" s="40" t="s">
        <v>263</v>
      </c>
      <c r="K4" s="40" t="s">
        <v>33</v>
      </c>
      <c r="L4" s="236" t="s">
        <v>263</v>
      </c>
      <c r="M4" s="40" t="s">
        <v>33</v>
      </c>
    </row>
    <row r="5" spans="2:13">
      <c r="B5" s="40" t="s">
        <v>38</v>
      </c>
      <c r="C5">
        <v>127</v>
      </c>
      <c r="G5" s="40" t="s">
        <v>7</v>
      </c>
      <c r="H5" s="40">
        <v>9.8000000000000004E-2</v>
      </c>
      <c r="I5" s="237">
        <f t="shared" ref="I5:I22" si="0">H5*454/(2.54^3)</f>
        <v>2.7150684222628292</v>
      </c>
      <c r="J5">
        <v>8</v>
      </c>
      <c r="K5" s="40" t="s">
        <v>264</v>
      </c>
      <c r="L5" s="238">
        <f t="shared" ref="L5:L16" si="1">J5/484</f>
        <v>1.6528925619834711E-2</v>
      </c>
      <c r="M5" s="40" t="s">
        <v>265</v>
      </c>
    </row>
    <row r="6" spans="2:13">
      <c r="B6" s="40" t="s">
        <v>44</v>
      </c>
      <c r="C6">
        <v>117</v>
      </c>
      <c r="G6" s="40" t="s">
        <v>266</v>
      </c>
      <c r="H6" s="40">
        <v>9.8000000000000004E-2</v>
      </c>
      <c r="I6" s="237">
        <f t="shared" si="0"/>
        <v>2.7150684222628292</v>
      </c>
      <c r="J6">
        <v>10</v>
      </c>
      <c r="K6" s="40" t="s">
        <v>264</v>
      </c>
      <c r="L6" s="238">
        <f t="shared" si="1"/>
        <v>2.0661157024793389E-2</v>
      </c>
      <c r="M6" s="40" t="s">
        <v>265</v>
      </c>
    </row>
    <row r="7" spans="2:13">
      <c r="B7" s="40" t="s">
        <v>45</v>
      </c>
      <c r="C7">
        <v>150</v>
      </c>
      <c r="G7" s="40" t="s">
        <v>249</v>
      </c>
      <c r="H7" s="40">
        <v>9.8000000000000004E-2</v>
      </c>
      <c r="I7" s="237">
        <f t="shared" si="0"/>
        <v>2.7150684222628292</v>
      </c>
      <c r="J7">
        <v>8</v>
      </c>
      <c r="K7" s="40" t="s">
        <v>264</v>
      </c>
      <c r="L7" s="238">
        <f t="shared" si="1"/>
        <v>1.6528925619834711E-2</v>
      </c>
      <c r="M7" s="40" t="s">
        <v>265</v>
      </c>
    </row>
    <row r="8" spans="2:13">
      <c r="B8" s="40" t="s">
        <v>46</v>
      </c>
      <c r="C8">
        <v>120</v>
      </c>
      <c r="G8" s="40" t="s">
        <v>267</v>
      </c>
      <c r="H8" s="40">
        <v>9.8000000000000004E-2</v>
      </c>
      <c r="I8" s="237">
        <f t="shared" si="0"/>
        <v>2.7150684222628292</v>
      </c>
      <c r="J8">
        <v>10</v>
      </c>
      <c r="K8" s="40" t="s">
        <v>264</v>
      </c>
      <c r="L8" s="238">
        <f t="shared" si="1"/>
        <v>2.0661157024793389E-2</v>
      </c>
      <c r="M8" s="40" t="s">
        <v>265</v>
      </c>
    </row>
    <row r="9" spans="2:13">
      <c r="G9" s="40" t="s">
        <v>268</v>
      </c>
      <c r="H9">
        <v>0.19800000000000001</v>
      </c>
      <c r="I9" s="237">
        <f t="shared" si="0"/>
        <v>5.4855464041636752</v>
      </c>
      <c r="J9">
        <v>15</v>
      </c>
      <c r="K9" s="40" t="s">
        <v>264</v>
      </c>
      <c r="L9" s="238">
        <f t="shared" si="1"/>
        <v>3.0991735537190084E-2</v>
      </c>
      <c r="M9" s="40" t="s">
        <v>265</v>
      </c>
    </row>
    <row r="10" spans="2:13">
      <c r="G10" s="40" t="s">
        <v>269</v>
      </c>
      <c r="H10">
        <v>0.19800000000000001</v>
      </c>
      <c r="I10" s="237">
        <f t="shared" si="0"/>
        <v>5.4855464041636752</v>
      </c>
      <c r="J10">
        <v>20</v>
      </c>
      <c r="K10" s="40" t="s">
        <v>264</v>
      </c>
      <c r="L10" s="238">
        <f t="shared" si="1"/>
        <v>4.1322314049586778E-2</v>
      </c>
      <c r="M10" s="40" t="s">
        <v>265</v>
      </c>
    </row>
    <row r="11" spans="2:13">
      <c r="G11" s="40" t="s">
        <v>138</v>
      </c>
      <c r="H11">
        <v>0.29799999999999999</v>
      </c>
      <c r="I11" s="237">
        <f t="shared" si="0"/>
        <v>8.2560243860645208</v>
      </c>
      <c r="J11">
        <v>3</v>
      </c>
      <c r="K11" s="40" t="s">
        <v>264</v>
      </c>
      <c r="L11" s="238">
        <f t="shared" si="1"/>
        <v>6.1983471074380167E-3</v>
      </c>
      <c r="M11" s="40" t="s">
        <v>265</v>
      </c>
    </row>
    <row r="12" spans="2:13">
      <c r="G12" s="40" t="s">
        <v>270</v>
      </c>
      <c r="H12">
        <v>0.29799999999999999</v>
      </c>
      <c r="I12" s="237">
        <f t="shared" si="0"/>
        <v>8.2560243860645208</v>
      </c>
      <c r="J12">
        <v>15</v>
      </c>
      <c r="K12" s="40" t="s">
        <v>264</v>
      </c>
      <c r="L12" s="238">
        <f t="shared" si="1"/>
        <v>3.0991735537190084E-2</v>
      </c>
      <c r="M12" s="40" t="s">
        <v>265</v>
      </c>
    </row>
    <row r="13" spans="2:13">
      <c r="G13" s="40" t="s">
        <v>271</v>
      </c>
      <c r="H13">
        <v>6.5000000000000002E-2</v>
      </c>
      <c r="I13" s="237">
        <f t="shared" si="0"/>
        <v>1.8008106882355499</v>
      </c>
      <c r="J13">
        <v>100</v>
      </c>
      <c r="K13" s="40" t="s">
        <v>264</v>
      </c>
      <c r="L13" s="238">
        <f t="shared" si="1"/>
        <v>0.20661157024793389</v>
      </c>
      <c r="M13" s="40" t="s">
        <v>265</v>
      </c>
    </row>
    <row r="14" spans="2:13">
      <c r="G14" s="40" t="s">
        <v>272</v>
      </c>
      <c r="H14">
        <v>6.5000000000000002E-2</v>
      </c>
      <c r="I14" s="237">
        <f t="shared" si="0"/>
        <v>1.8008106882355499</v>
      </c>
      <c r="J14">
        <v>800</v>
      </c>
      <c r="K14" s="40" t="s">
        <v>264</v>
      </c>
      <c r="L14" s="238">
        <f t="shared" si="1"/>
        <v>1.6528925619834711</v>
      </c>
      <c r="M14" s="40" t="s">
        <v>265</v>
      </c>
    </row>
    <row r="15" spans="2:13">
      <c r="B15" s="40" t="s">
        <v>48</v>
      </c>
      <c r="G15" s="40" t="s">
        <v>273</v>
      </c>
      <c r="H15">
        <v>6.5000000000000002E-2</v>
      </c>
      <c r="I15" s="237">
        <f t="shared" si="0"/>
        <v>1.8008106882355499</v>
      </c>
      <c r="J15">
        <v>500</v>
      </c>
      <c r="K15" s="40" t="s">
        <v>264</v>
      </c>
      <c r="L15" s="238">
        <f t="shared" si="1"/>
        <v>1.0330578512396693</v>
      </c>
      <c r="M15" s="40" t="s">
        <v>265</v>
      </c>
    </row>
    <row r="16" spans="2:13">
      <c r="B16" s="40" t="s">
        <v>49</v>
      </c>
      <c r="G16" s="40" t="s">
        <v>274</v>
      </c>
      <c r="H16">
        <v>6.5000000000000002E-2</v>
      </c>
      <c r="I16" s="237">
        <f t="shared" si="0"/>
        <v>1.8008106882355499</v>
      </c>
      <c r="J16">
        <v>1200</v>
      </c>
      <c r="K16" s="40" t="s">
        <v>264</v>
      </c>
      <c r="L16" s="238">
        <f t="shared" si="1"/>
        <v>2.4793388429752068</v>
      </c>
      <c r="M16" s="40" t="s">
        <v>265</v>
      </c>
    </row>
    <row r="17" spans="7:13">
      <c r="G17" s="40" t="s">
        <v>245</v>
      </c>
      <c r="H17">
        <v>5.5E-2</v>
      </c>
      <c r="I17" s="237">
        <f>H17*454/(2.54^3)</f>
        <v>1.5237628900454652</v>
      </c>
      <c r="J17">
        <v>400</v>
      </c>
      <c r="K17" s="40" t="s">
        <v>275</v>
      </c>
      <c r="L17" s="238">
        <f>J17/946</f>
        <v>0.42283298097251587</v>
      </c>
      <c r="M17" s="40" t="s">
        <v>276</v>
      </c>
    </row>
    <row r="18" spans="7:13">
      <c r="G18" s="40" t="s">
        <v>244</v>
      </c>
      <c r="H18">
        <v>5.5E-2</v>
      </c>
      <c r="I18" s="237">
        <f t="shared" si="0"/>
        <v>1.5237628900454652</v>
      </c>
      <c r="J18">
        <v>350</v>
      </c>
      <c r="K18" s="40" t="s">
        <v>275</v>
      </c>
      <c r="L18" s="238">
        <f>J18/946</f>
        <v>0.3699788583509514</v>
      </c>
      <c r="M18" s="40" t="s">
        <v>276</v>
      </c>
    </row>
    <row r="19" spans="7:13">
      <c r="G19" s="40" t="s">
        <v>277</v>
      </c>
      <c r="H19">
        <v>7.4999999999999997E-2</v>
      </c>
      <c r="I19" s="237">
        <f t="shared" si="0"/>
        <v>2.0778584864256344</v>
      </c>
      <c r="J19">
        <v>450</v>
      </c>
      <c r="K19" s="40" t="s">
        <v>275</v>
      </c>
      <c r="L19" s="238">
        <f>J19/946</f>
        <v>0.47568710359408034</v>
      </c>
      <c r="M19" s="40" t="s">
        <v>276</v>
      </c>
    </row>
    <row r="20" spans="7:13">
      <c r="G20" s="40" t="s">
        <v>247</v>
      </c>
      <c r="H20">
        <f>3/12^3</f>
        <v>1.736111111111111E-3</v>
      </c>
      <c r="I20" s="237">
        <f t="shared" si="0"/>
        <v>4.8098576074667464E-2</v>
      </c>
      <c r="J20">
        <v>600</v>
      </c>
      <c r="K20" s="40" t="s">
        <v>278</v>
      </c>
      <c r="L20" s="238">
        <f>J20/2360</f>
        <v>0.25423728813559321</v>
      </c>
      <c r="M20" s="40" t="s">
        <v>276</v>
      </c>
    </row>
    <row r="21" spans="7:13">
      <c r="G21" s="40" t="s">
        <v>279</v>
      </c>
      <c r="H21">
        <f t="shared" ref="H21" si="2">3/12^3</f>
        <v>1.736111111111111E-3</v>
      </c>
      <c r="I21" s="237">
        <f t="shared" si="0"/>
        <v>4.8098576074667464E-2</v>
      </c>
      <c r="J21">
        <v>75</v>
      </c>
      <c r="K21" s="40" t="s">
        <v>278</v>
      </c>
      <c r="L21" s="238">
        <f t="shared" ref="L21:L22" si="3">J21/2360</f>
        <v>3.1779661016949151E-2</v>
      </c>
      <c r="M21" s="40" t="s">
        <v>276</v>
      </c>
    </row>
    <row r="22" spans="7:13">
      <c r="G22" s="40" t="s">
        <v>280</v>
      </c>
      <c r="H22">
        <f>4/12^3</f>
        <v>2.3148148148148147E-3</v>
      </c>
      <c r="I22" s="237">
        <f t="shared" si="0"/>
        <v>6.413143476622328E-2</v>
      </c>
      <c r="J22">
        <v>100</v>
      </c>
      <c r="K22" s="40" t="s">
        <v>278</v>
      </c>
      <c r="L22" s="238">
        <f t="shared" si="3"/>
        <v>4.2372881355932202E-2</v>
      </c>
      <c r="M22" s="40" t="s">
        <v>276</v>
      </c>
    </row>
    <row r="23" spans="7:13">
      <c r="G23" s="40" t="s">
        <v>293</v>
      </c>
      <c r="H23">
        <v>5.5E-2</v>
      </c>
      <c r="I23" s="237">
        <f>H23*454/(2.54^3)</f>
        <v>1.5237628900454652</v>
      </c>
      <c r="J23">
        <v>400</v>
      </c>
      <c r="K23" s="40" t="s">
        <v>264</v>
      </c>
      <c r="L23" s="238">
        <f>J23/484</f>
        <v>0.82644628099173556</v>
      </c>
      <c r="M23" s="40" t="s">
        <v>265</v>
      </c>
    </row>
    <row r="24" spans="7:13">
      <c r="G24" s="40" t="s">
        <v>123</v>
      </c>
      <c r="H24">
        <v>5.5E-2</v>
      </c>
      <c r="I24" s="237">
        <f>H24*454/(2.54^3)</f>
        <v>1.5237628900454652</v>
      </c>
      <c r="J24">
        <v>600</v>
      </c>
      <c r="K24" s="40" t="s">
        <v>264</v>
      </c>
      <c r="L24" s="238">
        <f t="shared" ref="L24" si="4">J24/484</f>
        <v>1.2396694214876034</v>
      </c>
      <c r="M24" s="40" t="s">
        <v>265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53"/>
  <sheetViews>
    <sheetView workbookViewId="0">
      <selection activeCell="A41" sqref="A41"/>
    </sheetView>
  </sheetViews>
  <sheetFormatPr defaultRowHeight="12.75"/>
  <cols>
    <col min="1" max="1" width="30" bestFit="1" customWidth="1"/>
    <col min="2" max="2" width="14.28515625" bestFit="1" customWidth="1"/>
    <col min="3" max="3" width="11" bestFit="1" customWidth="1"/>
    <col min="4" max="4" width="9.85546875" style="225" bestFit="1" customWidth="1"/>
    <col min="5" max="5" width="11.140625" style="225" bestFit="1" customWidth="1"/>
    <col min="6" max="6" width="12" style="13" bestFit="1" customWidth="1"/>
    <col min="7" max="7" width="8" bestFit="1" customWidth="1"/>
    <col min="8" max="8" width="8.7109375" style="217" bestFit="1" customWidth="1"/>
    <col min="9" max="9" width="5" style="225" bestFit="1" customWidth="1"/>
    <col min="10" max="10" width="3.28515625" style="225" bestFit="1" customWidth="1"/>
    <col min="11" max="11" width="5" style="225" bestFit="1" customWidth="1"/>
    <col min="12" max="12" width="11" style="228" bestFit="1" customWidth="1"/>
    <col min="13" max="13" width="8.28515625" style="228" bestFit="1" customWidth="1"/>
    <col min="14" max="14" width="10.42578125" style="229" bestFit="1" customWidth="1"/>
    <col min="15" max="15" width="8.28515625" style="230" bestFit="1" customWidth="1"/>
    <col min="16" max="16" width="7.28515625" style="217" bestFit="1" customWidth="1"/>
    <col min="17" max="17" width="10.140625" style="217" bestFit="1" customWidth="1"/>
    <col min="18" max="18" width="9" style="206" bestFit="1" customWidth="1"/>
    <col min="19" max="19" width="9" style="207" bestFit="1" customWidth="1"/>
    <col min="20" max="20" width="10.85546875" style="206" bestFit="1" customWidth="1"/>
    <col min="21" max="21" width="12.5703125" customWidth="1"/>
    <col min="22" max="22" width="4.85546875" style="208" bestFit="1" customWidth="1"/>
    <col min="23" max="23" width="6.28515625" style="208" bestFit="1" customWidth="1"/>
    <col min="24" max="24" width="2" style="208" bestFit="1" customWidth="1"/>
  </cols>
  <sheetData>
    <row r="1" spans="1:32" ht="18">
      <c r="A1" s="296" t="s">
        <v>210</v>
      </c>
      <c r="B1" s="297"/>
      <c r="C1" s="297"/>
      <c r="D1" s="298" t="s">
        <v>211</v>
      </c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32" ht="96.75">
      <c r="A2" s="40" t="s">
        <v>0</v>
      </c>
      <c r="B2" s="40" t="s">
        <v>6</v>
      </c>
      <c r="C2" s="40" t="s">
        <v>212</v>
      </c>
      <c r="D2" s="190" t="s">
        <v>213</v>
      </c>
      <c r="E2" s="209" t="s">
        <v>214</v>
      </c>
      <c r="F2" s="209" t="s">
        <v>215</v>
      </c>
      <c r="G2" s="209" t="s">
        <v>216</v>
      </c>
      <c r="H2" s="209" t="s">
        <v>217</v>
      </c>
      <c r="I2" s="210" t="s">
        <v>218</v>
      </c>
      <c r="J2" s="210" t="s">
        <v>219</v>
      </c>
      <c r="K2" s="210" t="s">
        <v>220</v>
      </c>
      <c r="L2" s="211" t="s">
        <v>221</v>
      </c>
      <c r="M2" s="211" t="s">
        <v>222</v>
      </c>
      <c r="N2" s="212" t="s">
        <v>223</v>
      </c>
      <c r="O2" s="213" t="s">
        <v>224</v>
      </c>
      <c r="P2" s="209" t="s">
        <v>225</v>
      </c>
      <c r="Q2" s="214" t="s">
        <v>226</v>
      </c>
      <c r="R2" s="215" t="s">
        <v>227</v>
      </c>
      <c r="S2" s="216" t="s">
        <v>228</v>
      </c>
      <c r="T2" s="215" t="s">
        <v>255</v>
      </c>
      <c r="U2" s="214"/>
      <c r="Y2" s="217"/>
      <c r="Z2" s="217"/>
      <c r="AA2" s="217"/>
      <c r="AB2" s="217"/>
      <c r="AC2" s="217"/>
      <c r="AD2" s="217"/>
      <c r="AE2" s="217"/>
      <c r="AF2" s="217"/>
    </row>
    <row r="3" spans="1:32" ht="15.75">
      <c r="A3" s="105" t="s">
        <v>289</v>
      </c>
      <c r="B3" s="40"/>
      <c r="C3" s="40"/>
      <c r="D3" s="190"/>
      <c r="E3" s="190"/>
      <c r="F3" s="218"/>
      <c r="G3" s="209"/>
      <c r="H3" s="214"/>
      <c r="I3" s="210"/>
      <c r="J3" s="210"/>
      <c r="K3" s="210"/>
      <c r="L3" s="219"/>
      <c r="M3" s="219"/>
      <c r="N3" s="220"/>
      <c r="O3" s="221"/>
      <c r="P3" s="214"/>
      <c r="Q3" s="214"/>
      <c r="U3" s="217"/>
      <c r="V3" s="222" t="s">
        <v>229</v>
      </c>
      <c r="W3" s="222" t="s">
        <v>230</v>
      </c>
      <c r="X3" s="208">
        <v>1</v>
      </c>
      <c r="Y3" s="217"/>
      <c r="Z3" s="217"/>
      <c r="AA3" s="217"/>
      <c r="AB3" s="217"/>
      <c r="AC3" s="217"/>
      <c r="AD3" s="217"/>
      <c r="AE3" s="217"/>
      <c r="AF3" s="217"/>
    </row>
    <row r="4" spans="1:32" ht="15">
      <c r="A4" s="223" t="s">
        <v>136</v>
      </c>
      <c r="B4" s="40"/>
      <c r="C4" s="40"/>
      <c r="D4" s="190"/>
      <c r="E4" s="190"/>
      <c r="F4" s="218"/>
      <c r="G4" s="209"/>
      <c r="H4" s="214"/>
      <c r="I4" s="210"/>
      <c r="J4" s="210"/>
      <c r="K4" s="210"/>
      <c r="L4" s="219"/>
      <c r="M4" s="219"/>
      <c r="N4" s="220"/>
      <c r="O4" s="221"/>
      <c r="P4" s="214"/>
      <c r="Q4" s="214"/>
      <c r="U4" s="217"/>
      <c r="V4" s="222" t="s">
        <v>231</v>
      </c>
      <c r="W4" s="222" t="s">
        <v>232</v>
      </c>
      <c r="X4" s="208">
        <v>2</v>
      </c>
      <c r="Y4" s="217"/>
      <c r="Z4" s="217"/>
      <c r="AA4" s="217"/>
      <c r="AB4" s="217"/>
      <c r="AC4" s="217"/>
      <c r="AD4" s="217"/>
      <c r="AE4" s="217"/>
      <c r="AF4" s="217"/>
    </row>
    <row r="5" spans="1:32">
      <c r="A5" s="103" t="s">
        <v>76</v>
      </c>
      <c r="B5" s="40"/>
      <c r="C5" s="40"/>
      <c r="D5" s="190"/>
      <c r="E5" s="190"/>
      <c r="F5" s="218"/>
      <c r="G5" s="209"/>
      <c r="H5" s="214"/>
      <c r="I5" s="210"/>
      <c r="J5" s="210"/>
      <c r="K5" s="210"/>
      <c r="L5" s="219"/>
      <c r="M5" s="219"/>
      <c r="N5" s="220"/>
      <c r="O5" s="221"/>
      <c r="P5" s="214"/>
      <c r="Q5" s="214"/>
      <c r="U5" s="217"/>
      <c r="V5" s="222" t="s">
        <v>233</v>
      </c>
      <c r="W5" s="222" t="s">
        <v>234</v>
      </c>
      <c r="X5" s="208">
        <v>3</v>
      </c>
      <c r="Y5" s="217"/>
      <c r="Z5" s="217"/>
      <c r="AA5" s="217"/>
      <c r="AB5" s="217"/>
      <c r="AC5" s="217"/>
      <c r="AD5" s="217"/>
      <c r="AE5" s="217"/>
      <c r="AF5" s="217"/>
    </row>
    <row r="6" spans="1:32" s="226" customFormat="1">
      <c r="A6" s="102" t="s">
        <v>235</v>
      </c>
      <c r="B6" s="224" t="s">
        <v>138</v>
      </c>
      <c r="C6" s="224" t="s">
        <v>236</v>
      </c>
      <c r="D6" s="225">
        <v>1</v>
      </c>
      <c r="E6" s="190" t="s">
        <v>237</v>
      </c>
      <c r="F6" s="13">
        <v>8.3000000000000007</v>
      </c>
      <c r="G6" s="226" t="s">
        <v>238</v>
      </c>
      <c r="H6" s="227">
        <v>0</v>
      </c>
      <c r="I6" s="225">
        <v>57</v>
      </c>
      <c r="J6" s="225">
        <v>42</v>
      </c>
      <c r="K6" s="225">
        <v>2</v>
      </c>
      <c r="L6" s="228">
        <f>CHOOSE(LOOKUP(G6,$W$3:$X$6), "Enter Value", I6*D6*J6*K6*(1+H6), (PI()/4)*D6*I6*(1+H6)*J6^2, PI()*(1+H6)*D6*I6*J6*K6)</f>
        <v>15041.945625387929</v>
      </c>
      <c r="M6" s="228">
        <f>L6*F6</f>
        <v>124848.14869071983</v>
      </c>
      <c r="N6" s="229" t="e">
        <f>L6/E6</f>
        <v>#VALUE!</v>
      </c>
      <c r="O6" s="230">
        <v>6.0000000000000001E-3</v>
      </c>
      <c r="P6" s="217" t="s">
        <v>231</v>
      </c>
      <c r="Q6" s="231">
        <f>CHOOSE(LOOKUP(P6,$V$3:$V$5,$X$3:$X$5), O6*L6, O6*M6, O6*N6)</f>
        <v>749.08889214431895</v>
      </c>
      <c r="R6" s="232">
        <f>IF(C6="Test", M6, 0)</f>
        <v>0</v>
      </c>
      <c r="S6" s="232">
        <f>IF(C6="Test", N6, 0)</f>
        <v>0</v>
      </c>
      <c r="T6" s="206">
        <f t="shared" ref="T6:T40" si="0">IF(C6="Test", Q6, 0)</f>
        <v>0</v>
      </c>
      <c r="V6" s="208"/>
      <c r="W6" s="222" t="s">
        <v>238</v>
      </c>
      <c r="X6" s="208">
        <v>4</v>
      </c>
    </row>
    <row r="7" spans="1:32">
      <c r="A7" s="102" t="s">
        <v>239</v>
      </c>
      <c r="B7" s="224" t="s">
        <v>138</v>
      </c>
      <c r="C7" s="224" t="s">
        <v>232</v>
      </c>
      <c r="D7" s="225">
        <v>2</v>
      </c>
      <c r="E7" s="190" t="s">
        <v>237</v>
      </c>
      <c r="F7" s="13">
        <v>8.3000000000000007</v>
      </c>
      <c r="G7" s="226" t="s">
        <v>232</v>
      </c>
      <c r="H7" s="227">
        <v>0</v>
      </c>
      <c r="I7" s="225">
        <v>45</v>
      </c>
      <c r="J7" s="225">
        <v>45</v>
      </c>
      <c r="K7" s="225">
        <v>2</v>
      </c>
      <c r="L7" s="228">
        <f>CHOOSE(LOOKUP(G7,$W$3:$X$6), "Enter Value", I7*D7*J7*K7*(1+H7), (PI()/4)*D7*I7*(1+H7)*J7^2, PI()*(1+H7)*D7*I7*J7*K7)</f>
        <v>8100</v>
      </c>
      <c r="M7" s="228">
        <f>L7*F7</f>
        <v>67230</v>
      </c>
      <c r="N7" s="229" t="e">
        <f>L7/E7</f>
        <v>#VALUE!</v>
      </c>
      <c r="O7" s="230">
        <v>6.0000000000000001E-3</v>
      </c>
      <c r="P7" s="217" t="s">
        <v>231</v>
      </c>
      <c r="Q7" s="231">
        <f>CHOOSE(LOOKUP(P7,$V$3:$V$5,$X$3:$X$5), O7*L7, O7*M7, O7*N7)</f>
        <v>403.38</v>
      </c>
      <c r="R7" s="232">
        <f t="shared" ref="R7:R40" si="1">IF(C7="Test", M7, 0)</f>
        <v>0</v>
      </c>
      <c r="S7" s="232">
        <f t="shared" ref="S7:S40" si="2">IF(C7="Test", N7, 0)</f>
        <v>0</v>
      </c>
      <c r="T7" s="206">
        <f t="shared" si="0"/>
        <v>0</v>
      </c>
    </row>
    <row r="8" spans="1:32">
      <c r="A8" s="103" t="s">
        <v>238</v>
      </c>
      <c r="R8" s="232"/>
      <c r="S8" s="232"/>
    </row>
    <row r="9" spans="1:32">
      <c r="A9" s="102" t="s">
        <v>242</v>
      </c>
      <c r="B9" s="40" t="s">
        <v>240</v>
      </c>
      <c r="C9" s="224" t="s">
        <v>241</v>
      </c>
      <c r="D9" s="225">
        <v>1.5</v>
      </c>
      <c r="E9" s="225">
        <v>330</v>
      </c>
      <c r="F9" s="13">
        <v>1.8</v>
      </c>
      <c r="G9" s="226" t="s">
        <v>238</v>
      </c>
      <c r="H9" s="227">
        <v>0.3</v>
      </c>
      <c r="I9" s="225">
        <v>40</v>
      </c>
      <c r="J9" s="225">
        <v>42</v>
      </c>
      <c r="K9" s="225">
        <v>0.16</v>
      </c>
      <c r="L9" s="228">
        <f t="shared" ref="L9:L10" si="3">CHOOSE(LOOKUP(G9,$W$3:$X$6), "Enter Value", I9*D9*J9*K9*(1+H9), (PI()/4)*D9*I9*(1+H9)*J9^2, PI()*(1+H9)*D9*I9*J9*K9)</f>
        <v>1646.6972053056261</v>
      </c>
      <c r="M9" s="228">
        <f t="shared" ref="M9:M10" si="4">L9*F9</f>
        <v>2964.0549695501272</v>
      </c>
      <c r="N9" s="229">
        <f t="shared" ref="N9" si="5">L9/E9</f>
        <v>4.9899915312291698</v>
      </c>
      <c r="O9" s="230">
        <v>1.0329999999999999</v>
      </c>
      <c r="P9" s="217" t="s">
        <v>231</v>
      </c>
      <c r="Q9" s="231">
        <f t="shared" ref="Q9:Q10" si="6">CHOOSE(LOOKUP(P9,$V$3:$V$5,$X$3:$X$5), O9*L9, O9*M9, O9*N9)</f>
        <v>3061.8687835452811</v>
      </c>
      <c r="R9" s="232">
        <f t="shared" si="1"/>
        <v>0</v>
      </c>
      <c r="S9" s="232">
        <f>IF(C9="Test", N9, 0)</f>
        <v>0</v>
      </c>
      <c r="T9" s="206">
        <f t="shared" si="0"/>
        <v>0</v>
      </c>
    </row>
    <row r="10" spans="1:32">
      <c r="A10" s="102" t="s">
        <v>243</v>
      </c>
      <c r="B10" s="40" t="s">
        <v>240</v>
      </c>
      <c r="C10" s="224" t="s">
        <v>62</v>
      </c>
      <c r="D10" s="225">
        <v>0.5</v>
      </c>
      <c r="E10" s="225">
        <v>330</v>
      </c>
      <c r="F10" s="13">
        <v>1.8</v>
      </c>
      <c r="G10" s="226" t="s">
        <v>238</v>
      </c>
      <c r="H10" s="227">
        <v>0.3</v>
      </c>
      <c r="I10" s="225">
        <v>40</v>
      </c>
      <c r="J10" s="225">
        <v>42</v>
      </c>
      <c r="K10" s="225">
        <v>0.16</v>
      </c>
      <c r="L10" s="228">
        <f t="shared" si="3"/>
        <v>548.89906843520873</v>
      </c>
      <c r="M10" s="228">
        <f t="shared" si="4"/>
        <v>988.01832318337574</v>
      </c>
      <c r="N10" s="229">
        <f>L10/E10</f>
        <v>1.6633305104097234</v>
      </c>
      <c r="O10" s="230">
        <v>1.0329999999999999</v>
      </c>
      <c r="P10" s="217" t="s">
        <v>231</v>
      </c>
      <c r="Q10" s="231">
        <f t="shared" si="6"/>
        <v>1020.622927848427</v>
      </c>
      <c r="R10" s="232">
        <f t="shared" si="1"/>
        <v>988.01832318337574</v>
      </c>
      <c r="S10" s="232">
        <f t="shared" si="2"/>
        <v>1.6633305104097234</v>
      </c>
      <c r="T10" s="206">
        <f t="shared" si="0"/>
        <v>1020.622927848427</v>
      </c>
    </row>
    <row r="11" spans="1:32" ht="15">
      <c r="A11" s="223" t="s">
        <v>282</v>
      </c>
      <c r="B11" s="40"/>
      <c r="C11" s="40"/>
      <c r="D11" s="190"/>
      <c r="E11" s="190"/>
      <c r="F11" s="218"/>
      <c r="G11" s="209"/>
      <c r="H11" s="214"/>
      <c r="I11" s="210"/>
      <c r="J11" s="210"/>
      <c r="K11" s="210"/>
      <c r="L11" s="219"/>
      <c r="M11" s="219"/>
      <c r="N11" s="220"/>
      <c r="O11" s="221"/>
      <c r="P11" s="214"/>
      <c r="Q11" s="214"/>
      <c r="R11" s="232"/>
      <c r="S11" s="232"/>
    </row>
    <row r="12" spans="1:32">
      <c r="A12" s="103" t="s">
        <v>76</v>
      </c>
      <c r="B12" s="40"/>
      <c r="C12" s="40"/>
      <c r="D12" s="190"/>
      <c r="E12" s="190"/>
      <c r="F12" s="218"/>
      <c r="G12" s="209"/>
      <c r="H12" s="214"/>
      <c r="I12" s="210"/>
      <c r="J12" s="210"/>
      <c r="K12" s="210"/>
      <c r="L12" s="219"/>
      <c r="M12" s="219"/>
      <c r="N12" s="220"/>
      <c r="O12" s="221"/>
      <c r="P12" s="214"/>
      <c r="Q12" s="214"/>
      <c r="R12" s="232"/>
      <c r="S12" s="232"/>
    </row>
    <row r="13" spans="1:32">
      <c r="A13" s="102" t="s">
        <v>257</v>
      </c>
      <c r="B13" s="224" t="s">
        <v>7</v>
      </c>
      <c r="C13" s="224" t="s">
        <v>232</v>
      </c>
      <c r="D13" s="225">
        <v>1</v>
      </c>
      <c r="E13" s="190" t="s">
        <v>237</v>
      </c>
      <c r="F13" s="13">
        <v>2.7</v>
      </c>
      <c r="G13" s="226" t="s">
        <v>232</v>
      </c>
      <c r="H13" s="227">
        <v>0</v>
      </c>
      <c r="I13" s="225">
        <v>100</v>
      </c>
      <c r="J13" s="225">
        <v>15</v>
      </c>
      <c r="K13" s="225">
        <v>4</v>
      </c>
      <c r="L13" s="228">
        <f>CHOOSE(LOOKUP(G13,$W$3:$X$6), "Enter Value", I13*D13*J13*K13*(1+H13), (PI()/4)*D13*I13*(1+H13)*J13^2, PI()*(1+H13)*D13*I13*J13*K13)</f>
        <v>6000</v>
      </c>
      <c r="M13" s="228">
        <f>L13*F13</f>
        <v>16200.000000000002</v>
      </c>
      <c r="N13" s="229" t="e">
        <f>L13/E13</f>
        <v>#VALUE!</v>
      </c>
      <c r="O13" s="230">
        <v>1.7000000000000001E-2</v>
      </c>
      <c r="P13" s="217" t="s">
        <v>231</v>
      </c>
      <c r="Q13" s="231">
        <f>CHOOSE(LOOKUP(P13,$V$3:$V$5,$X$3:$X$5), O13*L13, O13*M13, O13*N13)</f>
        <v>275.40000000000003</v>
      </c>
      <c r="R13" s="232">
        <f>IF(C13="Test", M13, 0)</f>
        <v>0</v>
      </c>
      <c r="S13" s="232">
        <f>IF(C13="Test", N13, 0)</f>
        <v>0</v>
      </c>
      <c r="T13" s="206">
        <f>IF(C13="Test", Q13, 0)</f>
        <v>0</v>
      </c>
    </row>
    <row r="14" spans="1:32">
      <c r="A14" s="102" t="s">
        <v>283</v>
      </c>
      <c r="B14" s="224" t="s">
        <v>7</v>
      </c>
      <c r="C14" s="224" t="s">
        <v>232</v>
      </c>
      <c r="D14" s="225">
        <v>1</v>
      </c>
      <c r="E14" s="190" t="s">
        <v>237</v>
      </c>
      <c r="F14" s="13">
        <v>2.7</v>
      </c>
      <c r="G14" s="226" t="s">
        <v>232</v>
      </c>
      <c r="H14" s="227">
        <v>0</v>
      </c>
      <c r="I14" s="225">
        <v>100</v>
      </c>
      <c r="J14" s="225">
        <v>15</v>
      </c>
      <c r="K14" s="225">
        <v>4</v>
      </c>
      <c r="L14" s="228">
        <f>CHOOSE(LOOKUP(G14,$W$3:$X$6), "Enter Value", I14*D14*J14*K14*(1+H14), (PI()/4)*D14*I14*(1+H14)*J14^2, PI()*(1+H14)*D14*I14*J14*K14)</f>
        <v>6000</v>
      </c>
      <c r="M14" s="228">
        <f>L14*F14</f>
        <v>16200.000000000002</v>
      </c>
      <c r="N14" s="229" t="e">
        <f>L14/E14</f>
        <v>#VALUE!</v>
      </c>
      <c r="O14" s="230">
        <v>1.7000000000000001E-2</v>
      </c>
      <c r="P14" s="217" t="s">
        <v>231</v>
      </c>
      <c r="Q14" s="231">
        <f>CHOOSE(LOOKUP(P14,$V$3:$V$5,$X$3:$X$5), O14*L14, O14*M14, O14*N14)</f>
        <v>275.40000000000003</v>
      </c>
      <c r="R14" s="232">
        <f>IF(C14="Test", M14, 0)</f>
        <v>0</v>
      </c>
      <c r="S14" s="232">
        <f>IF(C14="Test", N14, 0)</f>
        <v>0</v>
      </c>
      <c r="T14" s="206">
        <f>IF(C14="Test", Q14, 0)</f>
        <v>0</v>
      </c>
    </row>
    <row r="15" spans="1:32">
      <c r="A15" s="103" t="s">
        <v>246</v>
      </c>
      <c r="R15" s="232"/>
      <c r="S15" s="232"/>
    </row>
    <row r="16" spans="1:32">
      <c r="A16" s="102" t="s">
        <v>284</v>
      </c>
      <c r="B16" s="40" t="s">
        <v>240</v>
      </c>
      <c r="C16" s="224" t="s">
        <v>241</v>
      </c>
      <c r="D16" s="225">
        <v>5</v>
      </c>
      <c r="E16" s="225">
        <v>330</v>
      </c>
      <c r="F16" s="13">
        <v>1.8</v>
      </c>
      <c r="G16" s="226" t="s">
        <v>232</v>
      </c>
      <c r="H16" s="227">
        <v>0.3</v>
      </c>
      <c r="I16" s="225">
        <v>80</v>
      </c>
      <c r="J16" s="225">
        <v>2.5</v>
      </c>
      <c r="K16" s="225">
        <v>0.8</v>
      </c>
      <c r="L16" s="228">
        <f>CHOOSE(LOOKUP(G16,$W$3:$X$6), "Enter Value", I16*D16*J16*K16*(1+H16), (PI()/4)*D16*I16*(1+H16)*J16^2, PI()*(1+H16)*D16*I16*J16*K16)</f>
        <v>1040</v>
      </c>
      <c r="M16" s="228">
        <f>L16*F16</f>
        <v>1872</v>
      </c>
      <c r="N16" s="229">
        <f>L16/E16</f>
        <v>3.1515151515151514</v>
      </c>
      <c r="O16" s="230">
        <v>1.0329999999999999</v>
      </c>
      <c r="P16" s="217" t="s">
        <v>231</v>
      </c>
      <c r="Q16" s="231">
        <f>CHOOSE(LOOKUP(P16,$V$3:$V$5,$X$3:$X$5), O16*L16, O16*M16, O16*N16)</f>
        <v>1933.7759999999998</v>
      </c>
      <c r="R16" s="232">
        <f t="shared" si="1"/>
        <v>0</v>
      </c>
      <c r="S16" s="232">
        <f t="shared" si="2"/>
        <v>0</v>
      </c>
      <c r="T16" s="206">
        <f t="shared" si="0"/>
        <v>0</v>
      </c>
    </row>
    <row r="17" spans="1:20">
      <c r="A17" s="102" t="s">
        <v>285</v>
      </c>
      <c r="B17" s="40" t="s">
        <v>240</v>
      </c>
      <c r="C17" s="224" t="s">
        <v>62</v>
      </c>
      <c r="D17" s="225">
        <v>2</v>
      </c>
      <c r="E17" s="225">
        <v>330</v>
      </c>
      <c r="F17" s="13">
        <v>1.8</v>
      </c>
      <c r="G17" s="226" t="s">
        <v>232</v>
      </c>
      <c r="H17" s="227">
        <v>0.5</v>
      </c>
      <c r="I17" s="225">
        <v>20</v>
      </c>
      <c r="J17" s="225">
        <v>3</v>
      </c>
      <c r="K17" s="225">
        <v>0.8</v>
      </c>
      <c r="L17" s="228">
        <f>CHOOSE(LOOKUP(G17,$W$3:$X$6), "Enter Value", I17*D17*J17*K17*(1+H17), (PI()/4)*D17*I17*(1+H17)*J17^2, PI()*(1+H17)*D17*I17*J17*K17)</f>
        <v>144</v>
      </c>
      <c r="M17" s="228">
        <f>L17*F17</f>
        <v>259.2</v>
      </c>
      <c r="N17" s="229">
        <f>L17/E17</f>
        <v>0.43636363636363634</v>
      </c>
      <c r="O17" s="230">
        <v>1.0329999999999999</v>
      </c>
      <c r="P17" s="217" t="s">
        <v>231</v>
      </c>
      <c r="Q17" s="231">
        <f>CHOOSE(LOOKUP(P17,$V$3:$V$5,$X$3:$X$5), O17*L17, O17*M17, O17*N17)</f>
        <v>267.75359999999995</v>
      </c>
      <c r="R17" s="232">
        <f t="shared" si="1"/>
        <v>259.2</v>
      </c>
      <c r="S17" s="232">
        <f t="shared" si="2"/>
        <v>0.43636363636363634</v>
      </c>
      <c r="T17" s="206">
        <f t="shared" si="0"/>
        <v>267.75359999999995</v>
      </c>
    </row>
    <row r="18" spans="1:20" ht="15">
      <c r="A18" s="223" t="s">
        <v>286</v>
      </c>
      <c r="B18" s="40"/>
      <c r="C18" s="40"/>
      <c r="D18" s="190"/>
      <c r="E18" s="190"/>
      <c r="F18" s="218"/>
      <c r="G18" s="209"/>
      <c r="H18" s="214"/>
      <c r="I18" s="210"/>
      <c r="J18" s="210"/>
      <c r="K18" s="210"/>
      <c r="L18" s="219"/>
      <c r="M18" s="219"/>
      <c r="N18" s="220"/>
      <c r="O18" s="221"/>
      <c r="P18" s="214"/>
      <c r="Q18" s="214"/>
      <c r="R18" s="232"/>
      <c r="S18" s="232"/>
    </row>
    <row r="19" spans="1:20">
      <c r="A19" s="103" t="s">
        <v>76</v>
      </c>
      <c r="B19" s="40"/>
      <c r="C19" s="40"/>
      <c r="D19" s="190"/>
      <c r="E19" s="190"/>
      <c r="F19" s="218"/>
      <c r="G19" s="209"/>
      <c r="H19" s="214"/>
      <c r="I19" s="210"/>
      <c r="J19" s="210"/>
      <c r="K19" s="210"/>
      <c r="L19" s="219"/>
      <c r="M19" s="219"/>
      <c r="N19" s="220"/>
      <c r="O19" s="221"/>
      <c r="P19" s="214"/>
      <c r="Q19" s="214"/>
      <c r="R19" s="232"/>
      <c r="S19" s="232"/>
    </row>
    <row r="20" spans="1:20">
      <c r="A20" s="102" t="s">
        <v>248</v>
      </c>
      <c r="B20" s="224" t="s">
        <v>7</v>
      </c>
      <c r="C20" s="224" t="s">
        <v>232</v>
      </c>
      <c r="D20" s="225">
        <v>1</v>
      </c>
      <c r="E20" s="190" t="s">
        <v>237</v>
      </c>
      <c r="F20" s="13">
        <v>2.7</v>
      </c>
      <c r="G20" s="226" t="s">
        <v>232</v>
      </c>
      <c r="H20" s="227">
        <v>0</v>
      </c>
      <c r="I20" s="225">
        <v>45</v>
      </c>
      <c r="J20" s="225">
        <v>22</v>
      </c>
      <c r="K20" s="225">
        <v>2</v>
      </c>
      <c r="L20" s="228">
        <f>CHOOSE(LOOKUP(G20,$W$3:$X$6), "Enter Value", I20*D20*J20*K20*(1+H20), (PI()/4)*D20*I20*(1+H20)*J20^2, PI()*(1+H20)*D20*I20*J20*K20)</f>
        <v>1980</v>
      </c>
      <c r="M20" s="228">
        <f>L20*F20</f>
        <v>5346</v>
      </c>
      <c r="N20" s="229" t="e">
        <f>L20/E20</f>
        <v>#VALUE!</v>
      </c>
      <c r="O20" s="230">
        <v>1.7000000000000001E-2</v>
      </c>
      <c r="P20" s="217" t="s">
        <v>231</v>
      </c>
      <c r="Q20" s="231">
        <f>CHOOSE(LOOKUP(P20,$V$3:$V$5,$X$3:$X$5), O20*L20, O20*M20, O20*N20)</f>
        <v>90.882000000000005</v>
      </c>
      <c r="R20" s="232">
        <f t="shared" si="1"/>
        <v>0</v>
      </c>
      <c r="S20" s="232">
        <f t="shared" si="2"/>
        <v>0</v>
      </c>
      <c r="T20" s="206">
        <f t="shared" si="0"/>
        <v>0</v>
      </c>
    </row>
    <row r="21" spans="1:20">
      <c r="A21" s="102" t="s">
        <v>142</v>
      </c>
      <c r="B21" s="224" t="s">
        <v>7</v>
      </c>
      <c r="C21" s="224" t="s">
        <v>232</v>
      </c>
      <c r="D21" s="225">
        <v>1</v>
      </c>
      <c r="E21" s="190" t="s">
        <v>237</v>
      </c>
      <c r="F21" s="13">
        <v>2.7</v>
      </c>
      <c r="G21" s="226" t="s">
        <v>232</v>
      </c>
      <c r="H21" s="227">
        <v>0</v>
      </c>
      <c r="I21" s="225">
        <v>45</v>
      </c>
      <c r="J21" s="225">
        <v>22</v>
      </c>
      <c r="K21" s="225">
        <v>2</v>
      </c>
      <c r="L21" s="228">
        <f>CHOOSE(LOOKUP(G21,$W$3:$X$6), "Enter Value", I21*D21*J21*K21*(1+H21), (PI()/4)*D21*I21*(1+H21)*J21^2, PI()*(1+H21)*D21*I21*J21*K21)</f>
        <v>1980</v>
      </c>
      <c r="M21" s="228">
        <f>L21*F21</f>
        <v>5346</v>
      </c>
      <c r="N21" s="229" t="e">
        <f>L21/E21</f>
        <v>#VALUE!</v>
      </c>
      <c r="O21" s="230">
        <v>1.7000000000000001E-2</v>
      </c>
      <c r="P21" s="217" t="s">
        <v>231</v>
      </c>
      <c r="Q21" s="231">
        <f>CHOOSE(LOOKUP(P21,$V$3:$V$5,$X$3:$X$5), O21*L21, O21*M21, O21*N21)</f>
        <v>90.882000000000005</v>
      </c>
      <c r="R21" s="232">
        <f t="shared" si="1"/>
        <v>0</v>
      </c>
      <c r="S21" s="232">
        <f t="shared" si="2"/>
        <v>0</v>
      </c>
      <c r="T21" s="206">
        <f t="shared" si="0"/>
        <v>0</v>
      </c>
    </row>
    <row r="22" spans="1:20">
      <c r="A22" s="103" t="s">
        <v>246</v>
      </c>
      <c r="R22" s="232"/>
      <c r="S22" s="232"/>
    </row>
    <row r="23" spans="1:20">
      <c r="A23" s="102" t="s">
        <v>300</v>
      </c>
      <c r="B23" s="40" t="s">
        <v>240</v>
      </c>
      <c r="C23" s="224" t="s">
        <v>241</v>
      </c>
      <c r="D23" s="225">
        <v>5</v>
      </c>
      <c r="E23" s="225">
        <v>330</v>
      </c>
      <c r="F23" s="13">
        <v>1.8</v>
      </c>
      <c r="G23" s="226" t="s">
        <v>238</v>
      </c>
      <c r="H23" s="227">
        <v>0.6</v>
      </c>
      <c r="I23" s="225">
        <v>0.3</v>
      </c>
      <c r="J23" s="225">
        <v>35</v>
      </c>
      <c r="K23" s="225">
        <v>7</v>
      </c>
      <c r="L23" s="228">
        <f t="shared" ref="L23:L24" si="7">CHOOSE(LOOKUP(G23,$W$3:$X$6), "Enter Value", I23*D23*J23*K23*(1+H23), (PI()/4)*D23*I23*(1+H23)*J23^2, PI()*(1+H23)*D23*I23*J23*K23)</f>
        <v>1847.2564803107985</v>
      </c>
      <c r="M23" s="228">
        <f t="shared" ref="M23:M24" si="8">L23*F23</f>
        <v>3325.0616645594373</v>
      </c>
      <c r="N23" s="229">
        <f t="shared" ref="N23" si="9">L23/E23</f>
        <v>5.5977469100327228</v>
      </c>
      <c r="O23" s="230">
        <v>1.0329999999999999</v>
      </c>
      <c r="P23" s="217" t="s">
        <v>231</v>
      </c>
      <c r="Q23" s="231">
        <f t="shared" ref="Q23:Q24" si="10">CHOOSE(LOOKUP(P23,$V$3:$V$5,$X$3:$X$5), O23*L23, O23*M23, O23*N23)</f>
        <v>3434.7886994898986</v>
      </c>
      <c r="R23" s="232">
        <f t="shared" ref="R23:R24" si="11">IF(C23="Test", M23, 0)</f>
        <v>0</v>
      </c>
      <c r="S23" s="232">
        <f>IF(C23="Test", N23, 0)</f>
        <v>0</v>
      </c>
      <c r="T23" s="206">
        <f t="shared" ref="T23:T24" si="12">IF(C23="Test", Q23, 0)</f>
        <v>0</v>
      </c>
    </row>
    <row r="24" spans="1:20">
      <c r="A24" s="102" t="s">
        <v>288</v>
      </c>
      <c r="B24" s="40" t="s">
        <v>240</v>
      </c>
      <c r="C24" s="224" t="s">
        <v>62</v>
      </c>
      <c r="D24" s="225">
        <v>1</v>
      </c>
      <c r="E24" s="225">
        <v>330</v>
      </c>
      <c r="F24" s="13">
        <v>1.8</v>
      </c>
      <c r="G24" s="226" t="s">
        <v>238</v>
      </c>
      <c r="H24" s="227">
        <v>0.6</v>
      </c>
      <c r="I24" s="225">
        <v>0.3</v>
      </c>
      <c r="J24" s="225">
        <v>35</v>
      </c>
      <c r="K24" s="225">
        <v>7</v>
      </c>
      <c r="L24" s="228">
        <f t="shared" si="7"/>
        <v>369.45129606215966</v>
      </c>
      <c r="M24" s="228">
        <f t="shared" si="8"/>
        <v>665.01233291188737</v>
      </c>
      <c r="N24" s="229">
        <f>L24/E24</f>
        <v>1.1195493820065443</v>
      </c>
      <c r="O24" s="230">
        <v>1.0329999999999999</v>
      </c>
      <c r="P24" s="217" t="s">
        <v>231</v>
      </c>
      <c r="Q24" s="231">
        <f t="shared" si="10"/>
        <v>686.95773989797965</v>
      </c>
      <c r="R24" s="232">
        <f t="shared" si="11"/>
        <v>665.01233291188737</v>
      </c>
      <c r="S24" s="232">
        <f t="shared" ref="S24" si="13">IF(C24="Test", N24, 0)</f>
        <v>1.1195493820065443</v>
      </c>
      <c r="T24" s="206">
        <f t="shared" si="12"/>
        <v>686.95773989797965</v>
      </c>
    </row>
    <row r="25" spans="1:20" ht="15">
      <c r="A25" s="223" t="s">
        <v>299</v>
      </c>
      <c r="B25" s="40"/>
      <c r="C25" s="40"/>
      <c r="D25" s="190"/>
      <c r="E25" s="190"/>
      <c r="F25" s="218"/>
      <c r="G25" s="209"/>
      <c r="H25" s="214"/>
      <c r="I25" s="210"/>
      <c r="J25" s="210"/>
      <c r="K25" s="210"/>
      <c r="L25" s="219"/>
      <c r="M25" s="219"/>
      <c r="N25" s="220"/>
      <c r="O25" s="221"/>
      <c r="P25" s="214"/>
      <c r="Q25" s="214"/>
      <c r="R25" s="232"/>
      <c r="S25" s="232"/>
    </row>
    <row r="26" spans="1:20">
      <c r="A26" s="103" t="s">
        <v>76</v>
      </c>
      <c r="B26" s="40"/>
      <c r="C26" s="40"/>
      <c r="D26" s="190"/>
      <c r="E26" s="190"/>
      <c r="F26" s="218"/>
      <c r="G26" s="209"/>
      <c r="H26" s="214"/>
      <c r="I26" s="210"/>
      <c r="J26" s="210"/>
      <c r="K26" s="210"/>
      <c r="L26" s="219"/>
      <c r="M26" s="219"/>
      <c r="N26" s="220"/>
      <c r="O26" s="221"/>
      <c r="P26" s="214"/>
      <c r="Q26" s="214"/>
      <c r="R26" s="232"/>
      <c r="S26" s="232"/>
    </row>
    <row r="27" spans="1:20">
      <c r="A27" s="102" t="s">
        <v>248</v>
      </c>
      <c r="B27" s="224" t="s">
        <v>7</v>
      </c>
      <c r="C27" s="224" t="s">
        <v>232</v>
      </c>
      <c r="D27" s="225">
        <v>1</v>
      </c>
      <c r="E27" s="190" t="s">
        <v>237</v>
      </c>
      <c r="F27" s="13">
        <v>2.7</v>
      </c>
      <c r="G27" s="226" t="s">
        <v>232</v>
      </c>
      <c r="H27" s="227">
        <v>0</v>
      </c>
      <c r="I27" s="225">
        <v>70</v>
      </c>
      <c r="J27" s="225">
        <v>22</v>
      </c>
      <c r="K27" s="225">
        <v>2</v>
      </c>
      <c r="L27" s="228">
        <f>CHOOSE(LOOKUP(G27,$W$3:$X$6), "Enter Value", I27*D27*J27*K27*(1+H27), (PI()/4)*D27*I27*(1+H27)*J27^2, PI()*(1+H27)*D27*I27*J27*K27)</f>
        <v>3080</v>
      </c>
      <c r="M27" s="228">
        <f>L27*F27</f>
        <v>8316</v>
      </c>
      <c r="N27" s="229" t="e">
        <f>L27/E27</f>
        <v>#VALUE!</v>
      </c>
      <c r="O27" s="230">
        <v>1.7000000000000001E-2</v>
      </c>
      <c r="P27" s="217" t="s">
        <v>231</v>
      </c>
      <c r="Q27" s="231">
        <f>CHOOSE(LOOKUP(P27,$V$3:$V$5,$X$3:$X$5), O27*L27, O27*M27, O27*N27)</f>
        <v>141.37200000000001</v>
      </c>
      <c r="R27" s="232">
        <f t="shared" ref="R27:R28" si="14">IF(C27="Test", M27, 0)</f>
        <v>0</v>
      </c>
      <c r="S27" s="232">
        <f t="shared" ref="S27:S28" si="15">IF(C27="Test", N27, 0)</f>
        <v>0</v>
      </c>
      <c r="T27" s="206">
        <f t="shared" ref="T27:T28" si="16">IF(C27="Test", Q27, 0)</f>
        <v>0</v>
      </c>
    </row>
    <row r="28" spans="1:20">
      <c r="A28" s="102" t="s">
        <v>142</v>
      </c>
      <c r="B28" s="224" t="s">
        <v>7</v>
      </c>
      <c r="C28" s="224" t="s">
        <v>232</v>
      </c>
      <c r="D28" s="225">
        <v>1</v>
      </c>
      <c r="E28" s="190" t="s">
        <v>237</v>
      </c>
      <c r="F28" s="13">
        <v>2.7</v>
      </c>
      <c r="G28" s="226" t="s">
        <v>232</v>
      </c>
      <c r="H28" s="227">
        <v>0</v>
      </c>
      <c r="I28" s="225">
        <v>70</v>
      </c>
      <c r="J28" s="225">
        <v>22</v>
      </c>
      <c r="K28" s="225">
        <v>2</v>
      </c>
      <c r="L28" s="228">
        <f>CHOOSE(LOOKUP(G28,$W$3:$X$6), "Enter Value", I28*D28*J28*K28*(1+H28), (PI()/4)*D28*I28*(1+H28)*J28^2, PI()*(1+H28)*D28*I28*J28*K28)</f>
        <v>3080</v>
      </c>
      <c r="M28" s="228">
        <f>L28*F28</f>
        <v>8316</v>
      </c>
      <c r="N28" s="229" t="e">
        <f>L28/E28</f>
        <v>#VALUE!</v>
      </c>
      <c r="O28" s="230">
        <v>1.7000000000000001E-2</v>
      </c>
      <c r="P28" s="217" t="s">
        <v>231</v>
      </c>
      <c r="Q28" s="231">
        <f>CHOOSE(LOOKUP(P28,$V$3:$V$5,$X$3:$X$5), O28*L28, O28*M28, O28*N28)</f>
        <v>141.37200000000001</v>
      </c>
      <c r="R28" s="232">
        <f t="shared" si="14"/>
        <v>0</v>
      </c>
      <c r="S28" s="232">
        <f t="shared" si="15"/>
        <v>0</v>
      </c>
      <c r="T28" s="206">
        <f t="shared" si="16"/>
        <v>0</v>
      </c>
    </row>
    <row r="29" spans="1:20">
      <c r="A29" s="103" t="s">
        <v>246</v>
      </c>
      <c r="R29" s="232"/>
      <c r="S29" s="232"/>
    </row>
    <row r="30" spans="1:20">
      <c r="A30" s="102" t="s">
        <v>299</v>
      </c>
      <c r="B30" s="40" t="s">
        <v>240</v>
      </c>
      <c r="C30" s="224" t="s">
        <v>241</v>
      </c>
      <c r="D30" s="225">
        <v>5</v>
      </c>
      <c r="E30" s="225">
        <v>330</v>
      </c>
      <c r="F30" s="13">
        <v>1.8</v>
      </c>
      <c r="G30" s="226" t="s">
        <v>238</v>
      </c>
      <c r="H30" s="227">
        <v>0.3</v>
      </c>
      <c r="I30" s="225">
        <v>39</v>
      </c>
      <c r="J30" s="225">
        <v>16</v>
      </c>
      <c r="K30" s="225">
        <v>0.39600000000000002</v>
      </c>
      <c r="L30" s="228">
        <f t="shared" ref="L30" si="17">CHOOSE(LOOKUP(G30,$W$3:$X$6), "Enter Value", I30*D30*J30*K30*(1+H30), (PI()/4)*D30*I30*(1+H30)*J30^2, PI()*(1+H30)*D30*I30*J30*K30)</f>
        <v>5045.95072197224</v>
      </c>
      <c r="M30" s="228">
        <f t="shared" ref="M30" si="18">L30*F30</f>
        <v>9082.711299550032</v>
      </c>
      <c r="N30" s="229">
        <f t="shared" ref="N30" si="19">L30/E30</f>
        <v>15.290759763552243</v>
      </c>
      <c r="O30" s="230">
        <v>1.0329999999999999</v>
      </c>
      <c r="P30" s="217" t="s">
        <v>231</v>
      </c>
      <c r="Q30" s="231">
        <f t="shared" ref="Q30" si="20">CHOOSE(LOOKUP(P30,$V$3:$V$5,$X$3:$X$5), O30*L30, O30*M30, O30*N30)</f>
        <v>9382.4407724351822</v>
      </c>
      <c r="R30" s="232">
        <f t="shared" ref="R30" si="21">IF(C30="Test", M30, 0)</f>
        <v>0</v>
      </c>
      <c r="S30" s="232">
        <f>IF(C30="Test", N30, 0)</f>
        <v>0</v>
      </c>
      <c r="T30" s="206">
        <f t="shared" ref="T30" si="22">IF(C30="Test", Q30, 0)</f>
        <v>0</v>
      </c>
    </row>
    <row r="31" spans="1:20" ht="15">
      <c r="A31" s="223" t="s">
        <v>290</v>
      </c>
      <c r="B31" s="40"/>
      <c r="C31" s="40"/>
      <c r="D31" s="190"/>
      <c r="E31" s="190"/>
      <c r="F31" s="218"/>
      <c r="G31" s="209"/>
      <c r="H31" s="214"/>
      <c r="I31" s="210"/>
      <c r="J31" s="210"/>
      <c r="K31" s="210"/>
      <c r="L31" s="219"/>
      <c r="M31" s="219"/>
      <c r="N31" s="220"/>
      <c r="O31" s="221"/>
      <c r="P31" s="214"/>
      <c r="Q31" s="214"/>
      <c r="R31" s="232"/>
      <c r="S31" s="232"/>
    </row>
    <row r="32" spans="1:20">
      <c r="A32" s="103" t="s">
        <v>240</v>
      </c>
      <c r="B32" s="40"/>
      <c r="C32" s="40"/>
      <c r="D32" s="190"/>
      <c r="E32" s="190"/>
      <c r="F32" s="218"/>
      <c r="G32" s="209"/>
      <c r="H32" s="214"/>
      <c r="I32" s="210"/>
      <c r="J32" s="210"/>
      <c r="K32" s="210"/>
      <c r="L32" s="219"/>
      <c r="M32" s="219"/>
      <c r="N32" s="220"/>
      <c r="O32" s="221"/>
      <c r="P32" s="214"/>
      <c r="Q32" s="214"/>
      <c r="R32" s="232"/>
      <c r="S32" s="232"/>
    </row>
    <row r="33" spans="1:20">
      <c r="A33" s="102" t="s">
        <v>291</v>
      </c>
      <c r="B33" s="40" t="s">
        <v>240</v>
      </c>
      <c r="C33" s="224" t="s">
        <v>62</v>
      </c>
      <c r="D33" s="225">
        <v>5</v>
      </c>
      <c r="E33" s="225">
        <v>330</v>
      </c>
      <c r="F33" s="13">
        <v>1.8</v>
      </c>
      <c r="G33" s="226" t="s">
        <v>232</v>
      </c>
      <c r="H33" s="227">
        <v>0.3</v>
      </c>
      <c r="I33" s="225">
        <v>30</v>
      </c>
      <c r="J33" s="225">
        <v>30</v>
      </c>
      <c r="K33" s="225">
        <v>0.1</v>
      </c>
      <c r="L33" s="228">
        <f>CHOOSE(LOOKUP(G33,$W$3:$X$6), "Enter Value", I33*D33*J33*K33*(1+H33), (PI()/4)*D33*I33*(1+H33)*J33^2, PI()*(1+H33)*D33*I33*J33*K33)</f>
        <v>585</v>
      </c>
      <c r="M33" s="228">
        <f>L33*F33</f>
        <v>1053</v>
      </c>
      <c r="N33" s="229">
        <f>L33/E33</f>
        <v>1.7727272727272727</v>
      </c>
      <c r="O33" s="230">
        <v>1.0329999999999999</v>
      </c>
      <c r="P33" s="217" t="s">
        <v>231</v>
      </c>
      <c r="Q33" s="231">
        <f>CHOOSE(LOOKUP(P33,$V$3:$V$5,$X$3:$X$5), O33*L33, O33*M33, O33*N33)</f>
        <v>1087.749</v>
      </c>
      <c r="R33" s="232">
        <f t="shared" ref="R33" si="23">IF(C33="Test", M33, 0)</f>
        <v>1053</v>
      </c>
      <c r="S33" s="232">
        <f t="shared" ref="S33" si="24">IF(C33="Test", N33, 0)</f>
        <v>1.7727272727272727</v>
      </c>
      <c r="T33" s="206">
        <f t="shared" ref="T33" si="25">IF(C33="Test", Q33, 0)</f>
        <v>1087.749</v>
      </c>
    </row>
    <row r="34" spans="1:20" ht="15">
      <c r="A34" s="223" t="s">
        <v>132</v>
      </c>
      <c r="B34" s="40"/>
      <c r="C34" s="40"/>
      <c r="D34" s="190"/>
      <c r="E34" s="190"/>
      <c r="F34" s="218"/>
      <c r="G34" s="209"/>
      <c r="H34" s="214"/>
      <c r="I34" s="210"/>
      <c r="J34" s="210"/>
      <c r="K34" s="210"/>
      <c r="L34" s="219"/>
      <c r="M34" s="219"/>
      <c r="N34" s="220"/>
      <c r="O34" s="221"/>
      <c r="P34" s="214"/>
      <c r="Q34" s="214"/>
      <c r="R34" s="232"/>
      <c r="S34" s="232"/>
    </row>
    <row r="35" spans="1:20">
      <c r="A35" s="103" t="s">
        <v>76</v>
      </c>
      <c r="B35" s="40"/>
      <c r="C35" s="40"/>
      <c r="D35" s="190"/>
      <c r="E35" s="190"/>
      <c r="F35" s="218"/>
      <c r="G35" s="209"/>
      <c r="H35" s="214"/>
      <c r="I35" s="210"/>
      <c r="J35" s="210"/>
      <c r="K35" s="210"/>
      <c r="L35" s="219"/>
      <c r="M35" s="219"/>
      <c r="N35" s="220"/>
      <c r="O35" s="221"/>
      <c r="P35" s="214"/>
      <c r="Q35" s="214"/>
      <c r="R35" s="232"/>
      <c r="S35" s="232"/>
    </row>
    <row r="36" spans="1:20">
      <c r="A36" s="102" t="s">
        <v>281</v>
      </c>
      <c r="B36" s="224" t="s">
        <v>7</v>
      </c>
      <c r="C36" s="224" t="s">
        <v>232</v>
      </c>
      <c r="D36" s="225">
        <v>1</v>
      </c>
      <c r="E36" s="190" t="s">
        <v>237</v>
      </c>
      <c r="F36" s="13">
        <v>2.7</v>
      </c>
      <c r="G36" s="226" t="s">
        <v>232</v>
      </c>
      <c r="H36" s="227">
        <v>0</v>
      </c>
      <c r="I36" s="225">
        <v>110</v>
      </c>
      <c r="J36" s="225">
        <v>57</v>
      </c>
      <c r="K36" s="225">
        <v>5</v>
      </c>
      <c r="L36" s="228">
        <f>CHOOSE(LOOKUP(G36,$W$3:$X$6), "Enter Value", I36*D36*J36*K36*(1+H36), (PI()/4)*D36*I36*(1+H36)*J36^2, PI()*(1+H36)*D36*I36*J36*K36)</f>
        <v>31350</v>
      </c>
      <c r="M36" s="228">
        <f>L36*F36</f>
        <v>84645</v>
      </c>
      <c r="N36" s="229" t="e">
        <f>L36/E36</f>
        <v>#VALUE!</v>
      </c>
      <c r="O36" s="230">
        <v>3.4000000000000002E-2</v>
      </c>
      <c r="P36" s="217" t="s">
        <v>231</v>
      </c>
      <c r="Q36" s="231">
        <f>CHOOSE(LOOKUP(P36,$V$3:$V$5,$X$3:$X$5), O36*L36, O36*M36, O36*N36)</f>
        <v>2877.9300000000003</v>
      </c>
      <c r="R36" s="232">
        <f>IF(C36="Test", M36, 0)</f>
        <v>0</v>
      </c>
      <c r="S36" s="232">
        <f>IF(C36="Test", N36, 0)</f>
        <v>0</v>
      </c>
      <c r="T36" s="206">
        <f>IF(C36="Test", Q36, 0)</f>
        <v>0</v>
      </c>
    </row>
    <row r="37" spans="1:20">
      <c r="A37" s="102" t="s">
        <v>256</v>
      </c>
      <c r="B37" s="224" t="s">
        <v>7</v>
      </c>
      <c r="C37" s="224" t="s">
        <v>232</v>
      </c>
      <c r="D37" s="225">
        <v>2</v>
      </c>
      <c r="E37" s="190" t="s">
        <v>237</v>
      </c>
      <c r="F37" s="13">
        <v>2.7</v>
      </c>
      <c r="G37" s="226" t="s">
        <v>232</v>
      </c>
      <c r="H37" s="227">
        <v>0</v>
      </c>
      <c r="I37" s="225">
        <v>22</v>
      </c>
      <c r="J37" s="225">
        <v>44</v>
      </c>
      <c r="K37" s="225">
        <v>5</v>
      </c>
      <c r="L37" s="228">
        <f>CHOOSE(LOOKUP(G37,$W$3:$X$6), "Enter Value", I37*D37*J37*K37*(1+H37), (PI()/4)*D37*I37*(1+H37)*J37^2, PI()*(1+H37)*D37*I37*J37*K37)</f>
        <v>9680</v>
      </c>
      <c r="M37" s="228">
        <f>L37*F37</f>
        <v>26136</v>
      </c>
      <c r="N37" s="229" t="e">
        <f>L37/E37</f>
        <v>#VALUE!</v>
      </c>
      <c r="O37" s="230">
        <v>1.7000000000000001E-2</v>
      </c>
      <c r="P37" s="217" t="s">
        <v>231</v>
      </c>
      <c r="Q37" s="231">
        <f>CHOOSE(LOOKUP(P37,$V$3:$V$5,$X$3:$X$5), O37*L37, O37*M37, O37*N37)</f>
        <v>444.31200000000001</v>
      </c>
      <c r="R37" s="232">
        <f>IF(C37="Test", M37, 0)</f>
        <v>0</v>
      </c>
      <c r="S37" s="232">
        <f>IF(C37="Test", N37, 0)</f>
        <v>0</v>
      </c>
      <c r="T37" s="206">
        <f>IF(C37="Test", Q37, 0)</f>
        <v>0</v>
      </c>
    </row>
    <row r="38" spans="1:20">
      <c r="A38" s="102" t="s">
        <v>250</v>
      </c>
      <c r="B38" s="224" t="s">
        <v>7</v>
      </c>
      <c r="C38" s="224" t="s">
        <v>232</v>
      </c>
      <c r="D38" s="225">
        <v>1</v>
      </c>
      <c r="E38" s="190" t="s">
        <v>237</v>
      </c>
      <c r="F38" s="13">
        <v>2.7</v>
      </c>
      <c r="G38" s="226" t="s">
        <v>232</v>
      </c>
      <c r="H38" s="227">
        <v>0</v>
      </c>
      <c r="I38" s="225">
        <v>110</v>
      </c>
      <c r="J38" s="225">
        <v>57</v>
      </c>
      <c r="K38" s="225">
        <v>2.5</v>
      </c>
      <c r="L38" s="228">
        <f>CHOOSE(LOOKUP(G38,$W$3:$X$6), "Enter Value", I38*D38*J38*K38*(1+H38), (PI()/4)*D38*I38*(1+H38)*J38^2, PI()*(1+H38)*D38*I38*J38*K38)</f>
        <v>15675</v>
      </c>
      <c r="M38" s="228">
        <f>L38*F38</f>
        <v>42322.5</v>
      </c>
      <c r="N38" s="229" t="e">
        <f>L38/E38</f>
        <v>#VALUE!</v>
      </c>
      <c r="O38" s="230">
        <v>1.7000000000000001E-2</v>
      </c>
      <c r="P38" s="217" t="s">
        <v>231</v>
      </c>
      <c r="Q38" s="231">
        <f>CHOOSE(LOOKUP(P38,$V$3:$V$5,$X$3:$X$5), O38*L38, O38*M38, O38*N38)</f>
        <v>719.48250000000007</v>
      </c>
      <c r="R38" s="232">
        <f t="shared" si="1"/>
        <v>0</v>
      </c>
      <c r="S38" s="232">
        <f t="shared" si="2"/>
        <v>0</v>
      </c>
      <c r="T38" s="206">
        <f t="shared" si="0"/>
        <v>0</v>
      </c>
    </row>
    <row r="39" spans="1:20">
      <c r="A39" s="103" t="s">
        <v>246</v>
      </c>
      <c r="R39" s="232"/>
      <c r="S39" s="232"/>
    </row>
    <row r="40" spans="1:20">
      <c r="A40" s="102" t="s">
        <v>316</v>
      </c>
      <c r="B40" s="224" t="s">
        <v>123</v>
      </c>
      <c r="C40" s="224" t="s">
        <v>294</v>
      </c>
      <c r="D40" s="225">
        <v>30</v>
      </c>
      <c r="E40" s="190" t="s">
        <v>237</v>
      </c>
      <c r="F40" s="13">
        <v>1.52</v>
      </c>
      <c r="G40" s="226" t="s">
        <v>232</v>
      </c>
      <c r="H40" s="227">
        <v>0</v>
      </c>
      <c r="I40" s="225">
        <v>3</v>
      </c>
      <c r="J40" s="225">
        <v>2</v>
      </c>
      <c r="K40" s="225">
        <v>2</v>
      </c>
      <c r="L40" s="228">
        <f>CHOOSE(LOOKUP(G40,$W$3:$X$6), "Enter Value", I40*D40*J40*K40*(1+H40), (PI()/4)*D40*I40*(1+H40)*J40^2, PI()*(1+H40)*D40*I40*J40*K40)</f>
        <v>360</v>
      </c>
      <c r="M40" s="228">
        <f>L40*F40</f>
        <v>547.20000000000005</v>
      </c>
      <c r="N40" s="229" t="e">
        <f>L40/E40</f>
        <v>#VALUE!</v>
      </c>
      <c r="O40" s="230">
        <v>1.24</v>
      </c>
      <c r="P40" s="217" t="s">
        <v>231</v>
      </c>
      <c r="Q40" s="231">
        <f>CHOOSE(LOOKUP(P40,$V$3:$V$5,$X$3:$X$5), O40*L40, O40*M40, O40*N40)</f>
        <v>678.52800000000002</v>
      </c>
      <c r="R40" s="232">
        <f t="shared" si="1"/>
        <v>0</v>
      </c>
      <c r="S40" s="232">
        <f t="shared" si="2"/>
        <v>0</v>
      </c>
      <c r="T40" s="206">
        <f t="shared" si="0"/>
        <v>0</v>
      </c>
    </row>
    <row r="42" spans="1:20">
      <c r="P42" s="233" t="s">
        <v>251</v>
      </c>
      <c r="Q42" s="231">
        <f>SUM(Q6:Q40)</f>
        <v>27763.986915361085</v>
      </c>
    </row>
    <row r="44" spans="1:20">
      <c r="C44" s="40" t="s">
        <v>287</v>
      </c>
      <c r="D44" s="190" t="s">
        <v>252</v>
      </c>
      <c r="E44" s="190" t="s">
        <v>226</v>
      </c>
    </row>
    <row r="45" spans="1:20">
      <c r="B45" s="40" t="s">
        <v>292</v>
      </c>
      <c r="C45" s="234">
        <f>SUM(R6:R40)/454</f>
        <v>6.5313450574785525</v>
      </c>
      <c r="D45" s="234">
        <f>SUM(S6:S40)</f>
        <v>4.9919708015071764</v>
      </c>
      <c r="E45" s="235">
        <f>SUM(T6:T40)</f>
        <v>3063.0832677464068</v>
      </c>
    </row>
    <row r="46" spans="1:20">
      <c r="B46" s="40" t="s">
        <v>253</v>
      </c>
      <c r="C46" s="234">
        <f>C47-C45</f>
        <v>37.981999853875763</v>
      </c>
      <c r="D46" s="234">
        <f t="shared" ref="D46:E46" si="26">D47-D45</f>
        <v>29.030013356329288</v>
      </c>
      <c r="E46" s="235">
        <f t="shared" si="26"/>
        <v>17812.87425547036</v>
      </c>
    </row>
    <row r="47" spans="1:20">
      <c r="B47" s="106" t="s">
        <v>240</v>
      </c>
      <c r="C47" s="239">
        <f>SUMIF(B6:B40,B47, M6:M40)/454</f>
        <v>44.513344911354316</v>
      </c>
      <c r="D47" s="239">
        <f>SUMIF(B6:B40, B47, N6:N40)</f>
        <v>34.021984157836464</v>
      </c>
      <c r="E47" s="240">
        <f>SUMIF(B6:B40,B47, Q6:Q40)</f>
        <v>20875.957523216766</v>
      </c>
      <c r="F47" s="241" t="s">
        <v>251</v>
      </c>
      <c r="G47" s="235">
        <f>E47/D47</f>
        <v>613.60199999999986</v>
      </c>
    </row>
    <row r="49" spans="2:5">
      <c r="C49" s="40" t="s">
        <v>221</v>
      </c>
      <c r="D49" s="190" t="s">
        <v>254</v>
      </c>
      <c r="E49" s="190" t="s">
        <v>226</v>
      </c>
    </row>
    <row r="50" spans="2:5">
      <c r="B50" s="40" t="s">
        <v>244</v>
      </c>
      <c r="C50" s="234">
        <f>SUMIF(B6:B40,B50, L6:L40)</f>
        <v>0</v>
      </c>
      <c r="D50" s="234">
        <f>C50/946</f>
        <v>0</v>
      </c>
      <c r="E50" s="235">
        <f>SUMIF(B8:B43,B50, Q8:Q43)</f>
        <v>0</v>
      </c>
    </row>
    <row r="52" spans="2:5">
      <c r="C52" s="40" t="s">
        <v>287</v>
      </c>
      <c r="E52" s="190" t="s">
        <v>226</v>
      </c>
    </row>
    <row r="53" spans="2:5">
      <c r="B53" s="40" t="s">
        <v>7</v>
      </c>
      <c r="C53" s="197">
        <f>SUMIF(B6:B40,B53,M6:M40)/454</f>
        <v>468.78303964757708</v>
      </c>
      <c r="E53" s="31">
        <f>SUMIF(B6:B40,B53,Q6:Q40)</f>
        <v>5057.0325000000003</v>
      </c>
    </row>
  </sheetData>
  <mergeCells count="2">
    <mergeCell ref="A1:C1"/>
    <mergeCell ref="D1:Q1"/>
  </mergeCells>
  <dataValidations count="2">
    <dataValidation type="list" allowBlank="1" showInputMessage="1" showErrorMessage="1" sqref="P40 P33 P36:P38 P30 P27:P28 P23:P24 P6:P7 P20:P21 P13:P14 P16:P17 P9:P10">
      <formula1>$V$3:$V$5</formula1>
    </dataValidation>
    <dataValidation type="list" allowBlank="1" showInputMessage="1" showErrorMessage="1" sqref="G40 G33 G36:G38 G30 G27:G28 G23:G24 G6:G7 G20:G21 G13:G14 G16:G17 G9:G10">
      <formula1>$W$3:$W$6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SUMMARY</vt:lpstr>
      <vt:lpstr>Pre- and Production</vt:lpstr>
      <vt:lpstr>Rates</vt:lpstr>
      <vt:lpstr>Material Estimates</vt:lpstr>
      <vt:lpstr>CMM</vt:lpstr>
      <vt:lpstr>DES</vt:lpstr>
      <vt:lpstr>ENG</vt:lpstr>
      <vt:lpstr>M_Tech</vt:lpstr>
      <vt:lpstr>MT</vt:lpstr>
      <vt:lpstr>SUMMARY!Print_Area</vt:lpstr>
      <vt:lpstr>Shop</vt:lpstr>
    </vt:vector>
  </TitlesOfParts>
  <Company>LBNL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Anderssen</dc:creator>
  <cp:lastModifiedBy>ECAnderssen_local</cp:lastModifiedBy>
  <cp:lastPrinted>2008-10-05T19:45:58Z</cp:lastPrinted>
  <dcterms:created xsi:type="dcterms:W3CDTF">2000-10-18T16:25:26Z</dcterms:created>
  <dcterms:modified xsi:type="dcterms:W3CDTF">2009-03-07T11:16:50Z</dcterms:modified>
</cp:coreProperties>
</file>