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5" windowWidth="23130" windowHeight="14490" activeTab="3"/>
  </bookViews>
  <sheets>
    <sheet name="SUMMARY" sheetId="16" r:id="rId1"/>
    <sheet name="Pre- and Production" sheetId="13" r:id="rId2"/>
    <sheet name="Rates" sheetId="15" r:id="rId3"/>
    <sheet name="Material Estimates" sheetId="17" r:id="rId4"/>
  </sheets>
  <definedNames>
    <definedName name="CMM">Rates!$C$5</definedName>
    <definedName name="DES">Rates!$C$8</definedName>
    <definedName name="ENG">Rates!$C$7</definedName>
    <definedName name="M_Tech">Rates!$C$6</definedName>
    <definedName name="MT">Rates!$C$6</definedName>
    <definedName name="_xlnm.Print_Area" localSheetId="0">SUMMARY!$B$5:$S$48</definedName>
    <definedName name="Shop">Rates!$C$4</definedName>
  </definedNames>
  <calcPr calcId="125725"/>
</workbook>
</file>

<file path=xl/calcChain.xml><?xml version="1.0" encoding="utf-8"?>
<calcChain xmlns="http://schemas.openxmlformats.org/spreadsheetml/2006/main">
  <c r="AO131" i="13"/>
  <c r="AN131"/>
  <c r="AM131"/>
  <c r="AL131"/>
  <c r="AK131"/>
  <c r="AJ131"/>
  <c r="AD131"/>
  <c r="AC131"/>
  <c r="AB131"/>
  <c r="AA131"/>
  <c r="Z131"/>
  <c r="S131"/>
  <c r="M131"/>
  <c r="F131"/>
  <c r="AE131" s="1"/>
  <c r="O131" l="1"/>
  <c r="E10"/>
  <c r="AN93" l="1"/>
  <c r="AM93"/>
  <c r="AL93"/>
  <c r="AK93"/>
  <c r="AJ93"/>
  <c r="AE93"/>
  <c r="AD93"/>
  <c r="AC93"/>
  <c r="AB93"/>
  <c r="AA93"/>
  <c r="Z93"/>
  <c r="S93"/>
  <c r="M93"/>
  <c r="F93"/>
  <c r="AO93" s="1"/>
  <c r="AO92"/>
  <c r="AN92"/>
  <c r="AM92"/>
  <c r="AL92"/>
  <c r="AK92"/>
  <c r="AJ92"/>
  <c r="AD92"/>
  <c r="AC92"/>
  <c r="AB92"/>
  <c r="AA92"/>
  <c r="Z92"/>
  <c r="S92"/>
  <c r="M92"/>
  <c r="O92" s="1"/>
  <c r="F92"/>
  <c r="AE92" s="1"/>
  <c r="AO91"/>
  <c r="AN91"/>
  <c r="AM91"/>
  <c r="AL91"/>
  <c r="AK91"/>
  <c r="AJ91"/>
  <c r="AD91"/>
  <c r="AC91"/>
  <c r="AB91"/>
  <c r="AA91"/>
  <c r="Z91"/>
  <c r="S91"/>
  <c r="M91"/>
  <c r="O91" s="1"/>
  <c r="F91"/>
  <c r="AE91" s="1"/>
  <c r="AN10"/>
  <c r="AM10"/>
  <c r="AL10"/>
  <c r="AK10"/>
  <c r="AJ10"/>
  <c r="AD10"/>
  <c r="AC10"/>
  <c r="AB10"/>
  <c r="AA10"/>
  <c r="Z10"/>
  <c r="S10"/>
  <c r="M10"/>
  <c r="F10"/>
  <c r="AE10" s="1"/>
  <c r="T30" i="17"/>
  <c r="S30"/>
  <c r="R30"/>
  <c r="L30"/>
  <c r="M30" s="1"/>
  <c r="Q30" s="1"/>
  <c r="T28"/>
  <c r="S28"/>
  <c r="R28"/>
  <c r="L28"/>
  <c r="N28" s="1"/>
  <c r="T27"/>
  <c r="S27"/>
  <c r="R27"/>
  <c r="L27"/>
  <c r="M27" s="1"/>
  <c r="Q27" s="1"/>
  <c r="M32" i="13"/>
  <c r="AO32"/>
  <c r="AN32"/>
  <c r="AM32"/>
  <c r="AL32"/>
  <c r="AK32"/>
  <c r="AJ32"/>
  <c r="AD32"/>
  <c r="AC32"/>
  <c r="AB32"/>
  <c r="AA32"/>
  <c r="Z32"/>
  <c r="S32"/>
  <c r="F32"/>
  <c r="AE32" s="1"/>
  <c r="AO29"/>
  <c r="AN29"/>
  <c r="AM29"/>
  <c r="AL29"/>
  <c r="AK29"/>
  <c r="AJ29"/>
  <c r="AD29"/>
  <c r="AC29"/>
  <c r="AB29"/>
  <c r="AA29"/>
  <c r="Z29"/>
  <c r="S29"/>
  <c r="M29"/>
  <c r="F29"/>
  <c r="AE29" s="1"/>
  <c r="L23" i="15"/>
  <c r="L24"/>
  <c r="I24"/>
  <c r="I23"/>
  <c r="L33" i="17"/>
  <c r="M33" s="1"/>
  <c r="L24"/>
  <c r="N24" s="1"/>
  <c r="S24" s="1"/>
  <c r="T23"/>
  <c r="S23"/>
  <c r="R23"/>
  <c r="L23"/>
  <c r="M23" s="1"/>
  <c r="Q23" s="1"/>
  <c r="T14"/>
  <c r="S14"/>
  <c r="R14"/>
  <c r="L14"/>
  <c r="M14" s="1"/>
  <c r="Q14" s="1"/>
  <c r="L22" i="15"/>
  <c r="I22"/>
  <c r="H22"/>
  <c r="L21"/>
  <c r="H21"/>
  <c r="I21" s="1"/>
  <c r="L20"/>
  <c r="H20"/>
  <c r="I20" s="1"/>
  <c r="L19"/>
  <c r="I19"/>
  <c r="L18"/>
  <c r="I18"/>
  <c r="L17"/>
  <c r="I17"/>
  <c r="L16"/>
  <c r="I16"/>
  <c r="L15"/>
  <c r="I15"/>
  <c r="L14"/>
  <c r="I14"/>
  <c r="L13"/>
  <c r="I13"/>
  <c r="L12"/>
  <c r="I12"/>
  <c r="L11"/>
  <c r="I11"/>
  <c r="L10"/>
  <c r="I10"/>
  <c r="L9"/>
  <c r="I9"/>
  <c r="L8"/>
  <c r="I8"/>
  <c r="L7"/>
  <c r="I7"/>
  <c r="L6"/>
  <c r="I6"/>
  <c r="L5"/>
  <c r="I5"/>
  <c r="T40" i="17"/>
  <c r="S40"/>
  <c r="R40"/>
  <c r="L40"/>
  <c r="N40" s="1"/>
  <c r="T38"/>
  <c r="S38"/>
  <c r="R38"/>
  <c r="L38"/>
  <c r="N38" s="1"/>
  <c r="T21"/>
  <c r="S21"/>
  <c r="R21"/>
  <c r="L21"/>
  <c r="N21" s="1"/>
  <c r="T20"/>
  <c r="S20"/>
  <c r="R20"/>
  <c r="L20"/>
  <c r="N20" s="1"/>
  <c r="L17"/>
  <c r="N17" s="1"/>
  <c r="S17" s="1"/>
  <c r="T16"/>
  <c r="S16"/>
  <c r="R16"/>
  <c r="L16"/>
  <c r="N16" s="1"/>
  <c r="L10"/>
  <c r="N10" s="1"/>
  <c r="T9"/>
  <c r="S9"/>
  <c r="R9"/>
  <c r="L9"/>
  <c r="N9" s="1"/>
  <c r="T37"/>
  <c r="S37"/>
  <c r="R37"/>
  <c r="L37"/>
  <c r="N37" s="1"/>
  <c r="T36"/>
  <c r="S36"/>
  <c r="R36"/>
  <c r="L36"/>
  <c r="N36" s="1"/>
  <c r="T13"/>
  <c r="S13"/>
  <c r="R13"/>
  <c r="L13"/>
  <c r="N13" s="1"/>
  <c r="T7"/>
  <c r="S7"/>
  <c r="R7"/>
  <c r="L7"/>
  <c r="N7" s="1"/>
  <c r="T6"/>
  <c r="S6"/>
  <c r="R6"/>
  <c r="L6"/>
  <c r="N6" s="1"/>
  <c r="AO10" i="13" l="1"/>
  <c r="O93"/>
  <c r="M94"/>
  <c r="O10"/>
  <c r="M28" i="17"/>
  <c r="Q28" s="1"/>
  <c r="N27"/>
  <c r="N30"/>
  <c r="O29" i="13"/>
  <c r="O32"/>
  <c r="Q33" i="17"/>
  <c r="T33" s="1"/>
  <c r="R33"/>
  <c r="N33"/>
  <c r="S33" s="1"/>
  <c r="M24"/>
  <c r="R24" s="1"/>
  <c r="N23"/>
  <c r="N14"/>
  <c r="M20"/>
  <c r="Q20" s="1"/>
  <c r="M36"/>
  <c r="Q36" s="1"/>
  <c r="D47"/>
  <c r="S10"/>
  <c r="D45" s="1"/>
  <c r="M7"/>
  <c r="Q7" s="1"/>
  <c r="M10"/>
  <c r="Q10" s="1"/>
  <c r="T10" s="1"/>
  <c r="C50"/>
  <c r="D50" s="1"/>
  <c r="M16"/>
  <c r="Q16" s="1"/>
  <c r="M21"/>
  <c r="Q21" s="1"/>
  <c r="M6"/>
  <c r="M13"/>
  <c r="Q13" s="1"/>
  <c r="M37"/>
  <c r="Q37" s="1"/>
  <c r="M9"/>
  <c r="Q9" s="1"/>
  <c r="M17"/>
  <c r="M38"/>
  <c r="Q38" s="1"/>
  <c r="M40"/>
  <c r="Q40" s="1"/>
  <c r="Q24" l="1"/>
  <c r="T24" s="1"/>
  <c r="R10"/>
  <c r="E50"/>
  <c r="D46"/>
  <c r="C53"/>
  <c r="Q6"/>
  <c r="R17"/>
  <c r="Q17"/>
  <c r="T17" s="1"/>
  <c r="C47"/>
  <c r="E47" l="1"/>
  <c r="E46" s="1"/>
  <c r="E45"/>
  <c r="C45"/>
  <c r="C46" s="1"/>
  <c r="E53"/>
  <c r="Q42"/>
  <c r="G47" l="1"/>
  <c r="AO60" i="13"/>
  <c r="AN60"/>
  <c r="AM60"/>
  <c r="AL60"/>
  <c r="AK60"/>
  <c r="AJ60"/>
  <c r="AD60"/>
  <c r="AC60"/>
  <c r="AB60"/>
  <c r="AA60"/>
  <c r="Z60"/>
  <c r="S60"/>
  <c r="M60"/>
  <c r="F60"/>
  <c r="AE60" s="1"/>
  <c r="AN57"/>
  <c r="AM57"/>
  <c r="AL57"/>
  <c r="AK57"/>
  <c r="AJ57"/>
  <c r="AE57"/>
  <c r="AD57"/>
  <c r="AC57"/>
  <c r="AB57"/>
  <c r="AA57"/>
  <c r="Z57"/>
  <c r="S57"/>
  <c r="M57"/>
  <c r="F57"/>
  <c r="AO57" s="1"/>
  <c r="AO54"/>
  <c r="AN54"/>
  <c r="AM54"/>
  <c r="AL54"/>
  <c r="AK54"/>
  <c r="AJ54"/>
  <c r="AD54"/>
  <c r="AC54"/>
  <c r="AB54"/>
  <c r="AA54"/>
  <c r="Z54"/>
  <c r="S54"/>
  <c r="M54"/>
  <c r="O54" s="1"/>
  <c r="F54"/>
  <c r="AE54" s="1"/>
  <c r="AN53"/>
  <c r="AM53"/>
  <c r="AL53"/>
  <c r="AK53"/>
  <c r="AJ53"/>
  <c r="AE53"/>
  <c r="AD53"/>
  <c r="AC53"/>
  <c r="AB53"/>
  <c r="AA53"/>
  <c r="Z53"/>
  <c r="S53"/>
  <c r="M53"/>
  <c r="F53"/>
  <c r="AO53" s="1"/>
  <c r="F55"/>
  <c r="M55"/>
  <c r="O55" s="1"/>
  <c r="S55"/>
  <c r="Z55"/>
  <c r="AA55"/>
  <c r="AB55"/>
  <c r="AC55"/>
  <c r="AD55"/>
  <c r="AE55"/>
  <c r="AJ55"/>
  <c r="AK55"/>
  <c r="AL55"/>
  <c r="AM55"/>
  <c r="AN55"/>
  <c r="AO55"/>
  <c r="F56"/>
  <c r="M56"/>
  <c r="S56"/>
  <c r="Z56"/>
  <c r="AA56"/>
  <c r="AB56"/>
  <c r="AC56"/>
  <c r="AD56"/>
  <c r="AE56"/>
  <c r="AJ56"/>
  <c r="AK56"/>
  <c r="AL56"/>
  <c r="AM56"/>
  <c r="AN56"/>
  <c r="AO56"/>
  <c r="AO95"/>
  <c r="AN95"/>
  <c r="AM95"/>
  <c r="AL95"/>
  <c r="AK95"/>
  <c r="AJ95"/>
  <c r="AD95"/>
  <c r="AC95"/>
  <c r="AB95"/>
  <c r="AA95"/>
  <c r="Z95"/>
  <c r="S95"/>
  <c r="M95"/>
  <c r="F95"/>
  <c r="AE95" s="1"/>
  <c r="AN49"/>
  <c r="AM49"/>
  <c r="AL49"/>
  <c r="AK49"/>
  <c r="AJ49"/>
  <c r="AD49"/>
  <c r="AC49"/>
  <c r="AB49"/>
  <c r="AA49"/>
  <c r="Z49"/>
  <c r="S49"/>
  <c r="M49"/>
  <c r="F49"/>
  <c r="AO49" s="1"/>
  <c r="AN48"/>
  <c r="AM48"/>
  <c r="AL48"/>
  <c r="AK48"/>
  <c r="AJ48"/>
  <c r="AD48"/>
  <c r="AC48"/>
  <c r="AB48"/>
  <c r="AA48"/>
  <c r="Z48"/>
  <c r="S48"/>
  <c r="M48"/>
  <c r="F48"/>
  <c r="AO48" s="1"/>
  <c r="AN47"/>
  <c r="AM47"/>
  <c r="AL47"/>
  <c r="AK47"/>
  <c r="AJ47"/>
  <c r="AD47"/>
  <c r="AC47"/>
  <c r="AB47"/>
  <c r="AA47"/>
  <c r="Z47"/>
  <c r="S47"/>
  <c r="M47"/>
  <c r="F47"/>
  <c r="AO47" s="1"/>
  <c r="AN46"/>
  <c r="AM46"/>
  <c r="AL46"/>
  <c r="AK46"/>
  <c r="AJ46"/>
  <c r="AD46"/>
  <c r="AC46"/>
  <c r="AB46"/>
  <c r="AA46"/>
  <c r="Z46"/>
  <c r="S46"/>
  <c r="M46"/>
  <c r="F46"/>
  <c r="AE46" s="1"/>
  <c r="AN45"/>
  <c r="AM45"/>
  <c r="AL45"/>
  <c r="AK45"/>
  <c r="AJ45"/>
  <c r="AE45"/>
  <c r="AD45"/>
  <c r="AC45"/>
  <c r="AB45"/>
  <c r="AA45"/>
  <c r="Z45"/>
  <c r="S45"/>
  <c r="M45"/>
  <c r="F45"/>
  <c r="AO45" s="1"/>
  <c r="AN44"/>
  <c r="AM44"/>
  <c r="AL44"/>
  <c r="AK44"/>
  <c r="AJ44"/>
  <c r="AE44"/>
  <c r="AD44"/>
  <c r="AC44"/>
  <c r="AB44"/>
  <c r="AA44"/>
  <c r="Z44"/>
  <c r="S44"/>
  <c r="M44"/>
  <c r="F44"/>
  <c r="AO44" s="1"/>
  <c r="AN43"/>
  <c r="AM43"/>
  <c r="AL43"/>
  <c r="AK43"/>
  <c r="AJ43"/>
  <c r="AE43"/>
  <c r="AD43"/>
  <c r="AC43"/>
  <c r="AB43"/>
  <c r="AA43"/>
  <c r="Z43"/>
  <c r="S43"/>
  <c r="M43"/>
  <c r="F43"/>
  <c r="AO43" s="1"/>
  <c r="O57" l="1"/>
  <c r="O44"/>
  <c r="O95"/>
  <c r="O56"/>
  <c r="O53"/>
  <c r="O60"/>
  <c r="AE47"/>
  <c r="AE48"/>
  <c r="AE49"/>
  <c r="O47"/>
  <c r="O49"/>
  <c r="O48"/>
  <c r="O46"/>
  <c r="AO46"/>
  <c r="O43"/>
  <c r="O45"/>
  <c r="AO108"/>
  <c r="AN108"/>
  <c r="AM108"/>
  <c r="AL108"/>
  <c r="AK108"/>
  <c r="AJ108"/>
  <c r="AD108"/>
  <c r="AC108"/>
  <c r="AB108"/>
  <c r="AA108"/>
  <c r="Z108"/>
  <c r="S108"/>
  <c r="M108"/>
  <c r="F108"/>
  <c r="AE108" s="1"/>
  <c r="AN143"/>
  <c r="AM143"/>
  <c r="AL143"/>
  <c r="AK143"/>
  <c r="AJ143"/>
  <c r="AE143"/>
  <c r="AD143"/>
  <c r="AC143"/>
  <c r="AB143"/>
  <c r="AA143"/>
  <c r="Z143"/>
  <c r="S143"/>
  <c r="M143"/>
  <c r="F143"/>
  <c r="AO143" s="1"/>
  <c r="AN142"/>
  <c r="AM142"/>
  <c r="AL142"/>
  <c r="AK142"/>
  <c r="AJ142"/>
  <c r="AD142"/>
  <c r="AC142"/>
  <c r="AB142"/>
  <c r="AA142"/>
  <c r="Z142"/>
  <c r="S142"/>
  <c r="M142"/>
  <c r="F142"/>
  <c r="AE142" s="1"/>
  <c r="AN141"/>
  <c r="AM141"/>
  <c r="AL141"/>
  <c r="AK141"/>
  <c r="AJ141"/>
  <c r="AD141"/>
  <c r="AC141"/>
  <c r="AB141"/>
  <c r="AA141"/>
  <c r="Z141"/>
  <c r="S141"/>
  <c r="M141"/>
  <c r="F141"/>
  <c r="AE141" s="1"/>
  <c r="AN140"/>
  <c r="AM140"/>
  <c r="AL140"/>
  <c r="AK140"/>
  <c r="AJ140"/>
  <c r="AD140"/>
  <c r="AC140"/>
  <c r="AB140"/>
  <c r="AA140"/>
  <c r="Z140"/>
  <c r="S140"/>
  <c r="M140"/>
  <c r="F140"/>
  <c r="AE140" s="1"/>
  <c r="AN139"/>
  <c r="AM139"/>
  <c r="AL139"/>
  <c r="AK139"/>
  <c r="AJ139"/>
  <c r="AD139"/>
  <c r="AC139"/>
  <c r="AB139"/>
  <c r="AA139"/>
  <c r="Z139"/>
  <c r="S139"/>
  <c r="M139"/>
  <c r="F139"/>
  <c r="AE139" s="1"/>
  <c r="F66"/>
  <c r="M66"/>
  <c r="S66"/>
  <c r="Z66"/>
  <c r="AA66"/>
  <c r="AB66"/>
  <c r="AC66"/>
  <c r="AD66"/>
  <c r="AE66"/>
  <c r="AJ66"/>
  <c r="AK66"/>
  <c r="AL66"/>
  <c r="AM66"/>
  <c r="AN66"/>
  <c r="AO66"/>
  <c r="AN85"/>
  <c r="AM85"/>
  <c r="AL85"/>
  <c r="AK85"/>
  <c r="AJ85"/>
  <c r="AD85"/>
  <c r="AC85"/>
  <c r="AB85"/>
  <c r="AA85"/>
  <c r="Z85"/>
  <c r="S85"/>
  <c r="M85"/>
  <c r="F85"/>
  <c r="AO85" s="1"/>
  <c r="AN119"/>
  <c r="AM119"/>
  <c r="AL119"/>
  <c r="AK119"/>
  <c r="AJ119"/>
  <c r="AE119"/>
  <c r="AD119"/>
  <c r="AC119"/>
  <c r="AB119"/>
  <c r="AA119"/>
  <c r="Z119"/>
  <c r="S119"/>
  <c r="M119"/>
  <c r="F119"/>
  <c r="AO119" s="1"/>
  <c r="AN117"/>
  <c r="AM117"/>
  <c r="AL117"/>
  <c r="AK117"/>
  <c r="AJ117"/>
  <c r="AE117"/>
  <c r="AD117"/>
  <c r="AC117"/>
  <c r="AB117"/>
  <c r="AA117"/>
  <c r="Z117"/>
  <c r="S117"/>
  <c r="M117"/>
  <c r="F117"/>
  <c r="AO117" s="1"/>
  <c r="AO116"/>
  <c r="AN116"/>
  <c r="AM116"/>
  <c r="AL116"/>
  <c r="AK116"/>
  <c r="AJ116"/>
  <c r="AD116"/>
  <c r="AC116"/>
  <c r="AB116"/>
  <c r="AA116"/>
  <c r="Z116"/>
  <c r="S116"/>
  <c r="M116"/>
  <c r="F116"/>
  <c r="AE116" s="1"/>
  <c r="AN110"/>
  <c r="AM110"/>
  <c r="AL110"/>
  <c r="AK110"/>
  <c r="AJ110"/>
  <c r="AD110"/>
  <c r="AC110"/>
  <c r="AB110"/>
  <c r="AA110"/>
  <c r="Z110"/>
  <c r="S110"/>
  <c r="M110"/>
  <c r="F110"/>
  <c r="AE110" s="1"/>
  <c r="AN112"/>
  <c r="AM112"/>
  <c r="AL112"/>
  <c r="AK112"/>
  <c r="AJ112"/>
  <c r="AE112"/>
  <c r="AD112"/>
  <c r="AC112"/>
  <c r="AB112"/>
  <c r="AA112"/>
  <c r="Z112"/>
  <c r="S112"/>
  <c r="M112"/>
  <c r="F112"/>
  <c r="AO112" s="1"/>
  <c r="AO111"/>
  <c r="AN111"/>
  <c r="AM111"/>
  <c r="AL111"/>
  <c r="AK111"/>
  <c r="AJ111"/>
  <c r="AD111"/>
  <c r="AC111"/>
  <c r="AB111"/>
  <c r="AA111"/>
  <c r="Z111"/>
  <c r="S111"/>
  <c r="M111"/>
  <c r="F111"/>
  <c r="AE111" s="1"/>
  <c r="AO109"/>
  <c r="AN109"/>
  <c r="AM109"/>
  <c r="AL109"/>
  <c r="AK109"/>
  <c r="AJ109"/>
  <c r="AD109"/>
  <c r="AC109"/>
  <c r="AB109"/>
  <c r="AA109"/>
  <c r="Z109"/>
  <c r="S109"/>
  <c r="M109"/>
  <c r="F109"/>
  <c r="AE109" s="1"/>
  <c r="AN121"/>
  <c r="AM121"/>
  <c r="AL121"/>
  <c r="AK121"/>
  <c r="AJ121"/>
  <c r="AE121"/>
  <c r="AD121"/>
  <c r="AC121"/>
  <c r="AB121"/>
  <c r="AA121"/>
  <c r="Z121"/>
  <c r="S121"/>
  <c r="M121"/>
  <c r="F121"/>
  <c r="AO121" s="1"/>
  <c r="AO120"/>
  <c r="AN120"/>
  <c r="AM120"/>
  <c r="AL120"/>
  <c r="AK120"/>
  <c r="AJ120"/>
  <c r="AD120"/>
  <c r="AC120"/>
  <c r="AB120"/>
  <c r="AA120"/>
  <c r="Z120"/>
  <c r="S120"/>
  <c r="M120"/>
  <c r="F120"/>
  <c r="AE120" s="1"/>
  <c r="AN118"/>
  <c r="AM118"/>
  <c r="AL118"/>
  <c r="AK118"/>
  <c r="AJ118"/>
  <c r="AD118"/>
  <c r="AC118"/>
  <c r="AB118"/>
  <c r="AA118"/>
  <c r="Z118"/>
  <c r="S118"/>
  <c r="M118"/>
  <c r="F118"/>
  <c r="AO118" s="1"/>
  <c r="AN115"/>
  <c r="AM115"/>
  <c r="AL115"/>
  <c r="AK115"/>
  <c r="AJ115"/>
  <c r="AD115"/>
  <c r="AC115"/>
  <c r="AB115"/>
  <c r="AA115"/>
  <c r="Z115"/>
  <c r="S115"/>
  <c r="M115"/>
  <c r="F115"/>
  <c r="AE115" s="1"/>
  <c r="AO114"/>
  <c r="AN114"/>
  <c r="AM114"/>
  <c r="AL114"/>
  <c r="AK114"/>
  <c r="AJ114"/>
  <c r="AD114"/>
  <c r="AC114"/>
  <c r="AB114"/>
  <c r="AA114"/>
  <c r="Z114"/>
  <c r="S114"/>
  <c r="M114"/>
  <c r="F114"/>
  <c r="AE114" s="1"/>
  <c r="AN106"/>
  <c r="AM106"/>
  <c r="AL106"/>
  <c r="AK106"/>
  <c r="AJ106"/>
  <c r="AE106"/>
  <c r="AD106"/>
  <c r="AC106"/>
  <c r="AB106"/>
  <c r="AA106"/>
  <c r="Z106"/>
  <c r="S106"/>
  <c r="M106"/>
  <c r="F106"/>
  <c r="AO106" s="1"/>
  <c r="AO105"/>
  <c r="AN105"/>
  <c r="AM105"/>
  <c r="AL105"/>
  <c r="AK105"/>
  <c r="AJ105"/>
  <c r="AD105"/>
  <c r="AC105"/>
  <c r="AB105"/>
  <c r="AA105"/>
  <c r="Z105"/>
  <c r="S105"/>
  <c r="M105"/>
  <c r="F105"/>
  <c r="AE105" s="1"/>
  <c r="AN104"/>
  <c r="AM104"/>
  <c r="AL104"/>
  <c r="AK104"/>
  <c r="AJ104"/>
  <c r="AE104"/>
  <c r="AD104"/>
  <c r="AC104"/>
  <c r="AB104"/>
  <c r="AA104"/>
  <c r="Z104"/>
  <c r="S104"/>
  <c r="M104"/>
  <c r="F104"/>
  <c r="AO104" s="1"/>
  <c r="AO103"/>
  <c r="AN103"/>
  <c r="AM103"/>
  <c r="AL103"/>
  <c r="AK103"/>
  <c r="AJ103"/>
  <c r="AD103"/>
  <c r="AC103"/>
  <c r="AB103"/>
  <c r="AA103"/>
  <c r="Z103"/>
  <c r="S103"/>
  <c r="M103"/>
  <c r="F103"/>
  <c r="AE103" s="1"/>
  <c r="AO102"/>
  <c r="AN102"/>
  <c r="AM102"/>
  <c r="AL102"/>
  <c r="AK102"/>
  <c r="AJ102"/>
  <c r="AD102"/>
  <c r="AC102"/>
  <c r="AB102"/>
  <c r="AA102"/>
  <c r="Z102"/>
  <c r="S102"/>
  <c r="M102"/>
  <c r="F102"/>
  <c r="AE102" s="1"/>
  <c r="AO73"/>
  <c r="AN73"/>
  <c r="AM73"/>
  <c r="AL73"/>
  <c r="AK73"/>
  <c r="AJ73"/>
  <c r="AD73"/>
  <c r="AC73"/>
  <c r="AB73"/>
  <c r="AA73"/>
  <c r="Z73"/>
  <c r="S73"/>
  <c r="M73"/>
  <c r="F73"/>
  <c r="AE73" s="1"/>
  <c r="AN76"/>
  <c r="AM76"/>
  <c r="AL76"/>
  <c r="AK76"/>
  <c r="AJ76"/>
  <c r="AD76"/>
  <c r="AC76"/>
  <c r="AB76"/>
  <c r="AA76"/>
  <c r="Z76"/>
  <c r="S76"/>
  <c r="M76"/>
  <c r="F76"/>
  <c r="AE76" s="1"/>
  <c r="AN75"/>
  <c r="AM75"/>
  <c r="AL75"/>
  <c r="AK75"/>
  <c r="AJ75"/>
  <c r="AD75"/>
  <c r="AC75"/>
  <c r="AB75"/>
  <c r="AA75"/>
  <c r="Z75"/>
  <c r="S75"/>
  <c r="M75"/>
  <c r="F75"/>
  <c r="AE75" s="1"/>
  <c r="AO99"/>
  <c r="AN99"/>
  <c r="AM99"/>
  <c r="AL99"/>
  <c r="AK99"/>
  <c r="AJ99"/>
  <c r="AD99"/>
  <c r="AC99"/>
  <c r="AB99"/>
  <c r="AA99"/>
  <c r="Z99"/>
  <c r="S99"/>
  <c r="M99"/>
  <c r="F99"/>
  <c r="AE99" s="1"/>
  <c r="AO97"/>
  <c r="AN97"/>
  <c r="AM97"/>
  <c r="AL97"/>
  <c r="AK97"/>
  <c r="AJ97"/>
  <c r="AD97"/>
  <c r="AC97"/>
  <c r="AB97"/>
  <c r="AA97"/>
  <c r="Z97"/>
  <c r="S97"/>
  <c r="M97"/>
  <c r="F97"/>
  <c r="AE97" s="1"/>
  <c r="AO31"/>
  <c r="AN31"/>
  <c r="AM31"/>
  <c r="AL31"/>
  <c r="AK31"/>
  <c r="AJ31"/>
  <c r="AD31"/>
  <c r="AC31"/>
  <c r="AB31"/>
  <c r="AA31"/>
  <c r="Z31"/>
  <c r="S31"/>
  <c r="M31"/>
  <c r="F31"/>
  <c r="AE31" s="1"/>
  <c r="AO28"/>
  <c r="AN28"/>
  <c r="AM28"/>
  <c r="AL28"/>
  <c r="AK28"/>
  <c r="AJ28"/>
  <c r="AD28"/>
  <c r="AC28"/>
  <c r="AB28"/>
  <c r="AA28"/>
  <c r="Z28"/>
  <c r="S28"/>
  <c r="M28"/>
  <c r="F28"/>
  <c r="AE28" s="1"/>
  <c r="AO52"/>
  <c r="AN52"/>
  <c r="AM52"/>
  <c r="AL52"/>
  <c r="AK52"/>
  <c r="AJ52"/>
  <c r="AD52"/>
  <c r="AC52"/>
  <c r="AB52"/>
  <c r="AA52"/>
  <c r="Z52"/>
  <c r="S52"/>
  <c r="M52"/>
  <c r="F52"/>
  <c r="AE52" s="1"/>
  <c r="AO51"/>
  <c r="AN51"/>
  <c r="AM51"/>
  <c r="AL51"/>
  <c r="AK51"/>
  <c r="AJ51"/>
  <c r="AD51"/>
  <c r="AC51"/>
  <c r="AB51"/>
  <c r="AA51"/>
  <c r="Z51"/>
  <c r="S51"/>
  <c r="M51"/>
  <c r="F51"/>
  <c r="AE51" s="1"/>
  <c r="AN59"/>
  <c r="AM59"/>
  <c r="AL59"/>
  <c r="AK59"/>
  <c r="AJ59"/>
  <c r="AD59"/>
  <c r="AC59"/>
  <c r="AB59"/>
  <c r="AA59"/>
  <c r="Z59"/>
  <c r="S59"/>
  <c r="M59"/>
  <c r="F59"/>
  <c r="AE59" s="1"/>
  <c r="AN58"/>
  <c r="AM58"/>
  <c r="AL58"/>
  <c r="AK58"/>
  <c r="AJ58"/>
  <c r="AD58"/>
  <c r="AC58"/>
  <c r="AB58"/>
  <c r="AA58"/>
  <c r="Z58"/>
  <c r="S58"/>
  <c r="M58"/>
  <c r="F58"/>
  <c r="AE58" s="1"/>
  <c r="AO41"/>
  <c r="AN41"/>
  <c r="AM41"/>
  <c r="AL41"/>
  <c r="AK41"/>
  <c r="AJ41"/>
  <c r="AD41"/>
  <c r="AC41"/>
  <c r="AB41"/>
  <c r="AA41"/>
  <c r="Z41"/>
  <c r="S41"/>
  <c r="M41"/>
  <c r="F41"/>
  <c r="AE41" s="1"/>
  <c r="AO38"/>
  <c r="AN38"/>
  <c r="AM38"/>
  <c r="AL38"/>
  <c r="AK38"/>
  <c r="AJ38"/>
  <c r="AD38"/>
  <c r="AC38"/>
  <c r="AB38"/>
  <c r="AA38"/>
  <c r="Z38"/>
  <c r="S38"/>
  <c r="M38"/>
  <c r="F38"/>
  <c r="AE38" s="1"/>
  <c r="AO42"/>
  <c r="AN42"/>
  <c r="AM42"/>
  <c r="AL42"/>
  <c r="AK42"/>
  <c r="AJ42"/>
  <c r="AD42"/>
  <c r="AC42"/>
  <c r="AB42"/>
  <c r="AA42"/>
  <c r="Z42"/>
  <c r="S42"/>
  <c r="M42"/>
  <c r="F42"/>
  <c r="AE42" s="1"/>
  <c r="AO40"/>
  <c r="AN40"/>
  <c r="AM40"/>
  <c r="AL40"/>
  <c r="AK40"/>
  <c r="AJ40"/>
  <c r="AD40"/>
  <c r="AC40"/>
  <c r="AB40"/>
  <c r="AA40"/>
  <c r="Z40"/>
  <c r="S40"/>
  <c r="M40"/>
  <c r="F40"/>
  <c r="AE40" s="1"/>
  <c r="AO39"/>
  <c r="AN39"/>
  <c r="AM39"/>
  <c r="AL39"/>
  <c r="AK39"/>
  <c r="AJ39"/>
  <c r="AD39"/>
  <c r="AC39"/>
  <c r="AB39"/>
  <c r="AA39"/>
  <c r="Z39"/>
  <c r="S39"/>
  <c r="M39"/>
  <c r="F39"/>
  <c r="AE39" s="1"/>
  <c r="AO36"/>
  <c r="AN36"/>
  <c r="AM36"/>
  <c r="AL36"/>
  <c r="AK36"/>
  <c r="AJ36"/>
  <c r="AD36"/>
  <c r="AC36"/>
  <c r="AB36"/>
  <c r="AA36"/>
  <c r="Z36"/>
  <c r="S36"/>
  <c r="M36"/>
  <c r="F36"/>
  <c r="AE36" s="1"/>
  <c r="AN62"/>
  <c r="AM62"/>
  <c r="AL62"/>
  <c r="AK62"/>
  <c r="AJ62"/>
  <c r="S62"/>
  <c r="AD62"/>
  <c r="M62"/>
  <c r="F62"/>
  <c r="AE62" s="1"/>
  <c r="AN61"/>
  <c r="AM61"/>
  <c r="AL61"/>
  <c r="AK61"/>
  <c r="AJ61"/>
  <c r="S61"/>
  <c r="AD61"/>
  <c r="M61"/>
  <c r="F61"/>
  <c r="AE61" s="1"/>
  <c r="AO37"/>
  <c r="AN37"/>
  <c r="AM37"/>
  <c r="AL37"/>
  <c r="AK37"/>
  <c r="AJ37"/>
  <c r="AD37"/>
  <c r="AC37"/>
  <c r="AB37"/>
  <c r="AA37"/>
  <c r="Z37"/>
  <c r="S37"/>
  <c r="M37"/>
  <c r="F37"/>
  <c r="AE37" s="1"/>
  <c r="AO35"/>
  <c r="AN35"/>
  <c r="AM35"/>
  <c r="AL35"/>
  <c r="AK35"/>
  <c r="AJ35"/>
  <c r="AD35"/>
  <c r="AC35"/>
  <c r="AB35"/>
  <c r="AA35"/>
  <c r="Z35"/>
  <c r="S35"/>
  <c r="M35"/>
  <c r="F35"/>
  <c r="AE35" s="1"/>
  <c r="AO14"/>
  <c r="AN14"/>
  <c r="AM14"/>
  <c r="AL14"/>
  <c r="AK14"/>
  <c r="AJ14"/>
  <c r="AD14"/>
  <c r="AC14"/>
  <c r="AB14"/>
  <c r="AA14"/>
  <c r="Z14"/>
  <c r="S14"/>
  <c r="M14"/>
  <c r="F14"/>
  <c r="AE14" s="1"/>
  <c r="AO26"/>
  <c r="AN26"/>
  <c r="AM26"/>
  <c r="AL26"/>
  <c r="AK26"/>
  <c r="AJ26"/>
  <c r="S26"/>
  <c r="N26"/>
  <c r="AD26" s="1"/>
  <c r="M26"/>
  <c r="F26"/>
  <c r="AE26" s="1"/>
  <c r="AO25"/>
  <c r="AN25"/>
  <c r="AM25"/>
  <c r="AL25"/>
  <c r="AK25"/>
  <c r="AJ25"/>
  <c r="S25"/>
  <c r="N25"/>
  <c r="AD25" s="1"/>
  <c r="AC25"/>
  <c r="F25"/>
  <c r="AE25" s="1"/>
  <c r="F22"/>
  <c r="M22"/>
  <c r="S22"/>
  <c r="Z22"/>
  <c r="AA22"/>
  <c r="AB22"/>
  <c r="AC22"/>
  <c r="AD22"/>
  <c r="AE22"/>
  <c r="AJ22"/>
  <c r="AK22"/>
  <c r="AL22"/>
  <c r="AM22"/>
  <c r="AN22"/>
  <c r="AO22"/>
  <c r="F23"/>
  <c r="M23"/>
  <c r="S23"/>
  <c r="Z23"/>
  <c r="AA23"/>
  <c r="AB23"/>
  <c r="AC23"/>
  <c r="AD23"/>
  <c r="AE23"/>
  <c r="AJ23"/>
  <c r="AK23"/>
  <c r="AL23"/>
  <c r="AM23"/>
  <c r="AN23"/>
  <c r="AO23"/>
  <c r="F30"/>
  <c r="M30"/>
  <c r="S30"/>
  <c r="Z30"/>
  <c r="AA30"/>
  <c r="AB30"/>
  <c r="AC30"/>
  <c r="AD30"/>
  <c r="AE30"/>
  <c r="AJ30"/>
  <c r="AK30"/>
  <c r="AL30"/>
  <c r="AM30"/>
  <c r="AN30"/>
  <c r="AO30"/>
  <c r="F33"/>
  <c r="M33"/>
  <c r="S33"/>
  <c r="Z33"/>
  <c r="AA33"/>
  <c r="AB33"/>
  <c r="AC33"/>
  <c r="AD33"/>
  <c r="AE33"/>
  <c r="AJ33"/>
  <c r="AK33"/>
  <c r="AL33"/>
  <c r="AM33"/>
  <c r="AN33"/>
  <c r="AO33"/>
  <c r="F149"/>
  <c r="AO132"/>
  <c r="AN132"/>
  <c r="AM132"/>
  <c r="AL132"/>
  <c r="AK132"/>
  <c r="AJ132"/>
  <c r="AD132"/>
  <c r="AC132"/>
  <c r="AB132"/>
  <c r="AA132"/>
  <c r="Z132"/>
  <c r="S132"/>
  <c r="M132"/>
  <c r="F132"/>
  <c r="AE132" s="1"/>
  <c r="AO130"/>
  <c r="AN130"/>
  <c r="AM130"/>
  <c r="AL130"/>
  <c r="AK130"/>
  <c r="AJ130"/>
  <c r="AD130"/>
  <c r="AC130"/>
  <c r="AB130"/>
  <c r="AA130"/>
  <c r="Z130"/>
  <c r="S130"/>
  <c r="M130"/>
  <c r="F130"/>
  <c r="AE130" s="1"/>
  <c r="AO129"/>
  <c r="AN129"/>
  <c r="AM129"/>
  <c r="AL129"/>
  <c r="AK129"/>
  <c r="AJ129"/>
  <c r="AD129"/>
  <c r="AC129"/>
  <c r="AB129"/>
  <c r="AA129"/>
  <c r="Z129"/>
  <c r="S129"/>
  <c r="M129"/>
  <c r="F129"/>
  <c r="AE129" s="1"/>
  <c r="M50" l="1"/>
  <c r="M34"/>
  <c r="M63"/>
  <c r="O66"/>
  <c r="O30"/>
  <c r="M133"/>
  <c r="O33"/>
  <c r="O23"/>
  <c r="O139"/>
  <c r="AO139"/>
  <c r="O140"/>
  <c r="AO140"/>
  <c r="O141"/>
  <c r="AO141"/>
  <c r="O142"/>
  <c r="AO142"/>
  <c r="O143"/>
  <c r="O108"/>
  <c r="M113"/>
  <c r="O85"/>
  <c r="AE85"/>
  <c r="M107"/>
  <c r="AE118"/>
  <c r="O110"/>
  <c r="AO110"/>
  <c r="O116"/>
  <c r="O119"/>
  <c r="O117"/>
  <c r="AO115"/>
  <c r="O97"/>
  <c r="O99"/>
  <c r="O76"/>
  <c r="AO76"/>
  <c r="O105"/>
  <c r="O106"/>
  <c r="O114"/>
  <c r="O115"/>
  <c r="O118"/>
  <c r="O120"/>
  <c r="O121"/>
  <c r="O112"/>
  <c r="O111"/>
  <c r="O109"/>
  <c r="O104"/>
  <c r="O103"/>
  <c r="O102"/>
  <c r="AO75"/>
  <c r="O73"/>
  <c r="O75"/>
  <c r="AO61"/>
  <c r="AO62"/>
  <c r="O40"/>
  <c r="O42"/>
  <c r="O38"/>
  <c r="O41"/>
  <c r="O58"/>
  <c r="AO58"/>
  <c r="O59"/>
  <c r="AO59"/>
  <c r="O51"/>
  <c r="O52"/>
  <c r="O28"/>
  <c r="O31"/>
  <c r="O39"/>
  <c r="O36"/>
  <c r="O35"/>
  <c r="O37"/>
  <c r="O61"/>
  <c r="O62"/>
  <c r="Z61"/>
  <c r="AA61"/>
  <c r="AB61"/>
  <c r="AC61"/>
  <c r="Z62"/>
  <c r="AA62"/>
  <c r="AB62"/>
  <c r="AC62"/>
  <c r="O26"/>
  <c r="O14"/>
  <c r="M25"/>
  <c r="Z25"/>
  <c r="AA25"/>
  <c r="AB25"/>
  <c r="Z26"/>
  <c r="AA26"/>
  <c r="AB26"/>
  <c r="AC26"/>
  <c r="O22"/>
  <c r="O129"/>
  <c r="O130"/>
  <c r="O132"/>
  <c r="C5" i="16"/>
  <c r="M5"/>
  <c r="C6"/>
  <c r="D6"/>
  <c r="E6"/>
  <c r="F6"/>
  <c r="G6"/>
  <c r="H6"/>
  <c r="M6"/>
  <c r="N6"/>
  <c r="O6"/>
  <c r="P6"/>
  <c r="Q6"/>
  <c r="R6"/>
  <c r="C12"/>
  <c r="M12"/>
  <c r="C13"/>
  <c r="D13"/>
  <c r="E13"/>
  <c r="F13"/>
  <c r="G13"/>
  <c r="H13"/>
  <c r="I13"/>
  <c r="M13"/>
  <c r="N13"/>
  <c r="O13"/>
  <c r="P13"/>
  <c r="Q13"/>
  <c r="R13"/>
  <c r="S13"/>
  <c r="H17"/>
  <c r="R17"/>
  <c r="R18"/>
  <c r="C20"/>
  <c r="M20"/>
  <c r="C21"/>
  <c r="D21"/>
  <c r="E21"/>
  <c r="F21"/>
  <c r="G21"/>
  <c r="H21"/>
  <c r="M21"/>
  <c r="N21"/>
  <c r="O21"/>
  <c r="P21"/>
  <c r="Q21"/>
  <c r="R21"/>
  <c r="L22"/>
  <c r="L23"/>
  <c r="L24"/>
  <c r="L25"/>
  <c r="L26"/>
  <c r="C27"/>
  <c r="M27"/>
  <c r="C28"/>
  <c r="D28"/>
  <c r="E28"/>
  <c r="F28"/>
  <c r="G28"/>
  <c r="H28"/>
  <c r="I28"/>
  <c r="M28"/>
  <c r="N28"/>
  <c r="O28"/>
  <c r="P28"/>
  <c r="Q28"/>
  <c r="R28"/>
  <c r="S28"/>
  <c r="H32"/>
  <c r="R32"/>
  <c r="R33"/>
  <c r="C35"/>
  <c r="M35"/>
  <c r="C36"/>
  <c r="D36"/>
  <c r="E36"/>
  <c r="F36"/>
  <c r="G36"/>
  <c r="H36"/>
  <c r="M36"/>
  <c r="N36"/>
  <c r="O36"/>
  <c r="P36"/>
  <c r="Q36"/>
  <c r="R36"/>
  <c r="L37"/>
  <c r="L38"/>
  <c r="L39"/>
  <c r="L40"/>
  <c r="L41"/>
  <c r="C42"/>
  <c r="M42"/>
  <c r="C43"/>
  <c r="D43"/>
  <c r="E43"/>
  <c r="F43"/>
  <c r="G43"/>
  <c r="H43"/>
  <c r="I43"/>
  <c r="M43"/>
  <c r="N43"/>
  <c r="O43"/>
  <c r="P43"/>
  <c r="Q43"/>
  <c r="R43"/>
  <c r="S43"/>
  <c r="H47"/>
  <c r="R47"/>
  <c r="R48"/>
  <c r="B6"/>
  <c r="B7"/>
  <c r="B8"/>
  <c r="B9"/>
  <c r="B10"/>
  <c r="B11"/>
  <c r="B22"/>
  <c r="B23"/>
  <c r="B24"/>
  <c r="B25"/>
  <c r="B26"/>
  <c r="B37"/>
  <c r="B38"/>
  <c r="B39"/>
  <c r="B40"/>
  <c r="B41"/>
  <c r="AI201" i="13"/>
  <c r="L46" i="16" s="1"/>
  <c r="AI200" i="13"/>
  <c r="L45" i="16" s="1"/>
  <c r="AI199" i="13"/>
  <c r="L44" i="16" s="1"/>
  <c r="Y201" i="13"/>
  <c r="B46" i="16" s="1"/>
  <c r="Y200" i="13"/>
  <c r="B45" i="16" s="1"/>
  <c r="Y199" i="13"/>
  <c r="B44" i="16" s="1"/>
  <c r="AI186" i="13"/>
  <c r="L31" i="16" s="1"/>
  <c r="L30"/>
  <c r="AI184" i="13"/>
  <c r="L29" i="16" s="1"/>
  <c r="Y186" i="13"/>
  <c r="B31" i="16" s="1"/>
  <c r="Y185" i="13"/>
  <c r="B30" i="16" s="1"/>
  <c r="Y184" i="13"/>
  <c r="B29" i="16" s="1"/>
  <c r="S153" i="13"/>
  <c r="S152"/>
  <c r="S151"/>
  <c r="S150"/>
  <c r="S149"/>
  <c r="S148"/>
  <c r="S147"/>
  <c r="S65"/>
  <c r="S64"/>
  <c r="S138"/>
  <c r="S137"/>
  <c r="S136"/>
  <c r="S135"/>
  <c r="S134"/>
  <c r="S89"/>
  <c r="S88"/>
  <c r="S87"/>
  <c r="S84"/>
  <c r="S83"/>
  <c r="S82"/>
  <c r="S80"/>
  <c r="S79"/>
  <c r="S77"/>
  <c r="S74"/>
  <c r="S72"/>
  <c r="S123"/>
  <c r="S122"/>
  <c r="S100"/>
  <c r="S98"/>
  <c r="S96"/>
  <c r="S17"/>
  <c r="S16"/>
  <c r="S15"/>
  <c r="S13"/>
  <c r="S12"/>
  <c r="S11"/>
  <c r="S9"/>
  <c r="S8"/>
  <c r="S7"/>
  <c r="S6"/>
  <c r="S5"/>
  <c r="AO136"/>
  <c r="AN136"/>
  <c r="AM136"/>
  <c r="AL136"/>
  <c r="AK136"/>
  <c r="AJ136"/>
  <c r="AD136"/>
  <c r="AC136"/>
  <c r="AB136"/>
  <c r="AA136"/>
  <c r="Z136"/>
  <c r="M136"/>
  <c r="F136"/>
  <c r="AE136" s="1"/>
  <c r="AN89"/>
  <c r="AM89"/>
  <c r="AL89"/>
  <c r="AK89"/>
  <c r="AJ89"/>
  <c r="AD89"/>
  <c r="AC89"/>
  <c r="AB89"/>
  <c r="AA89"/>
  <c r="Z89"/>
  <c r="M89"/>
  <c r="F89"/>
  <c r="AE89" s="1"/>
  <c r="AD153"/>
  <c r="AC153"/>
  <c r="AB153"/>
  <c r="AA153"/>
  <c r="Z153"/>
  <c r="AD152"/>
  <c r="AC152"/>
  <c r="AB152"/>
  <c r="AA152"/>
  <c r="Z152"/>
  <c r="AD151"/>
  <c r="AC151"/>
  <c r="AB151"/>
  <c r="AA151"/>
  <c r="Z151"/>
  <c r="AD150"/>
  <c r="AC150"/>
  <c r="AB150"/>
  <c r="AA150"/>
  <c r="Z150"/>
  <c r="AD149"/>
  <c r="AC149"/>
  <c r="AB149"/>
  <c r="AA149"/>
  <c r="Z149"/>
  <c r="AD148"/>
  <c r="AC148"/>
  <c r="AB148"/>
  <c r="AA148"/>
  <c r="Z148"/>
  <c r="AD147"/>
  <c r="AD154" s="1"/>
  <c r="AC147"/>
  <c r="AB147"/>
  <c r="AB154" s="1"/>
  <c r="AA147"/>
  <c r="Z147"/>
  <c r="Z154" s="1"/>
  <c r="AD65"/>
  <c r="AC65"/>
  <c r="AB65"/>
  <c r="AA65"/>
  <c r="Z65"/>
  <c r="AD64"/>
  <c r="AD67" s="1"/>
  <c r="AC64"/>
  <c r="AB64"/>
  <c r="AA64"/>
  <c r="Z64"/>
  <c r="AE138"/>
  <c r="AD138"/>
  <c r="AC138"/>
  <c r="AB138"/>
  <c r="AA138"/>
  <c r="Z138"/>
  <c r="AD137"/>
  <c r="AC137"/>
  <c r="AB137"/>
  <c r="AA137"/>
  <c r="Z137"/>
  <c r="AD135"/>
  <c r="AC135"/>
  <c r="AB135"/>
  <c r="AA135"/>
  <c r="Z135"/>
  <c r="AD134"/>
  <c r="AC134"/>
  <c r="AC144" s="1"/>
  <c r="AB134"/>
  <c r="AA134"/>
  <c r="AA144" s="1"/>
  <c r="Z134"/>
  <c r="AD88"/>
  <c r="AC88"/>
  <c r="AB88"/>
  <c r="AA88"/>
  <c r="Z88"/>
  <c r="AD87"/>
  <c r="AC87"/>
  <c r="AB87"/>
  <c r="AA87"/>
  <c r="Z87"/>
  <c r="AD84"/>
  <c r="AC84"/>
  <c r="AB84"/>
  <c r="AA84"/>
  <c r="Z84"/>
  <c r="AD83"/>
  <c r="AC83"/>
  <c r="AB83"/>
  <c r="AA83"/>
  <c r="Z83"/>
  <c r="AD82"/>
  <c r="AC82"/>
  <c r="AB82"/>
  <c r="AA82"/>
  <c r="Z82"/>
  <c r="AD80"/>
  <c r="AC80"/>
  <c r="AB80"/>
  <c r="AA80"/>
  <c r="Z80"/>
  <c r="AD79"/>
  <c r="AC79"/>
  <c r="AB79"/>
  <c r="AA79"/>
  <c r="Z79"/>
  <c r="AD77"/>
  <c r="AC77"/>
  <c r="AB77"/>
  <c r="AA77"/>
  <c r="Z77"/>
  <c r="AD74"/>
  <c r="AC74"/>
  <c r="AB74"/>
  <c r="AA74"/>
  <c r="Z74"/>
  <c r="AD72"/>
  <c r="AC72"/>
  <c r="AB72"/>
  <c r="AA72"/>
  <c r="Z72"/>
  <c r="AD123"/>
  <c r="AC123"/>
  <c r="AB123"/>
  <c r="AA123"/>
  <c r="Z123"/>
  <c r="AD122"/>
  <c r="AC122"/>
  <c r="AB122"/>
  <c r="AA122"/>
  <c r="Z122"/>
  <c r="AD100"/>
  <c r="AC100"/>
  <c r="AB100"/>
  <c r="AA100"/>
  <c r="Z100"/>
  <c r="AD98"/>
  <c r="AC98"/>
  <c r="AB98"/>
  <c r="AA98"/>
  <c r="Z98"/>
  <c r="AD96"/>
  <c r="AC96"/>
  <c r="AB96"/>
  <c r="AA96"/>
  <c r="Z96"/>
  <c r="AE165"/>
  <c r="H10" i="16" s="1"/>
  <c r="AN65" i="13"/>
  <c r="AM65"/>
  <c r="AL65"/>
  <c r="AK65"/>
  <c r="AJ65"/>
  <c r="M65"/>
  <c r="F65"/>
  <c r="AO65" s="1"/>
  <c r="AN64"/>
  <c r="AM64"/>
  <c r="AL64"/>
  <c r="AK64"/>
  <c r="AJ64"/>
  <c r="M64"/>
  <c r="F64"/>
  <c r="AO64" s="1"/>
  <c r="AO15"/>
  <c r="AN15"/>
  <c r="AM15"/>
  <c r="AL15"/>
  <c r="AK15"/>
  <c r="AJ15"/>
  <c r="AD15"/>
  <c r="AC15"/>
  <c r="AB15"/>
  <c r="AA15"/>
  <c r="Z15"/>
  <c r="M15"/>
  <c r="F15"/>
  <c r="AE15" s="1"/>
  <c r="AO16"/>
  <c r="AN16"/>
  <c r="AM16"/>
  <c r="AL16"/>
  <c r="AK16"/>
  <c r="AJ16"/>
  <c r="AD16"/>
  <c r="AC16"/>
  <c r="AB16"/>
  <c r="AA16"/>
  <c r="Z16"/>
  <c r="M16"/>
  <c r="F16"/>
  <c r="AE16" s="1"/>
  <c r="AN138"/>
  <c r="AM138"/>
  <c r="AL138"/>
  <c r="AK138"/>
  <c r="AJ138"/>
  <c r="M138"/>
  <c r="F138"/>
  <c r="AO138" s="1"/>
  <c r="AN137"/>
  <c r="AM137"/>
  <c r="AL137"/>
  <c r="AK137"/>
  <c r="AJ137"/>
  <c r="M137"/>
  <c r="F137"/>
  <c r="AE137" s="1"/>
  <c r="AN135"/>
  <c r="AM135"/>
  <c r="AL135"/>
  <c r="AK135"/>
  <c r="AJ135"/>
  <c r="M135"/>
  <c r="F135"/>
  <c r="AE135" s="1"/>
  <c r="AN134"/>
  <c r="AM134"/>
  <c r="AL134"/>
  <c r="AK134"/>
  <c r="AJ134"/>
  <c r="M134"/>
  <c r="F134"/>
  <c r="AE134" s="1"/>
  <c r="AO88"/>
  <c r="AN88"/>
  <c r="AM88"/>
  <c r="AL88"/>
  <c r="AK88"/>
  <c r="AJ88"/>
  <c r="M88"/>
  <c r="F88"/>
  <c r="AE88" s="1"/>
  <c r="AO87"/>
  <c r="AN87"/>
  <c r="AM87"/>
  <c r="AL87"/>
  <c r="AK87"/>
  <c r="AJ87"/>
  <c r="M87"/>
  <c r="M90" s="1"/>
  <c r="F87"/>
  <c r="AE87" s="1"/>
  <c r="AN83"/>
  <c r="AM83"/>
  <c r="AL83"/>
  <c r="AK83"/>
  <c r="AJ83"/>
  <c r="M83"/>
  <c r="F83"/>
  <c r="AE83" s="1"/>
  <c r="AN84"/>
  <c r="AM84"/>
  <c r="AL84"/>
  <c r="AK84"/>
  <c r="AJ84"/>
  <c r="M84"/>
  <c r="F84"/>
  <c r="AE84" s="1"/>
  <c r="AO82"/>
  <c r="AN82"/>
  <c r="AM82"/>
  <c r="AL82"/>
  <c r="AK82"/>
  <c r="AJ82"/>
  <c r="M82"/>
  <c r="F82"/>
  <c r="AE82" s="1"/>
  <c r="AN80"/>
  <c r="AM80"/>
  <c r="AL80"/>
  <c r="AK80"/>
  <c r="AJ80"/>
  <c r="M80"/>
  <c r="F80"/>
  <c r="AE80" s="1"/>
  <c r="AN79"/>
  <c r="AM79"/>
  <c r="AL79"/>
  <c r="AK79"/>
  <c r="AJ79"/>
  <c r="M79"/>
  <c r="F79"/>
  <c r="AE79" s="1"/>
  <c r="M77"/>
  <c r="AO74"/>
  <c r="AN74"/>
  <c r="AM74"/>
  <c r="AL74"/>
  <c r="AK74"/>
  <c r="AJ74"/>
  <c r="M74"/>
  <c r="F74"/>
  <c r="AE74" s="1"/>
  <c r="AO77"/>
  <c r="AN77"/>
  <c r="AM77"/>
  <c r="AL77"/>
  <c r="AK77"/>
  <c r="AJ77"/>
  <c r="F77"/>
  <c r="AE77" s="1"/>
  <c r="AO72"/>
  <c r="AN72"/>
  <c r="AM72"/>
  <c r="AL72"/>
  <c r="AK72"/>
  <c r="AJ72"/>
  <c r="M72"/>
  <c r="F72"/>
  <c r="AE72" s="1"/>
  <c r="AN123"/>
  <c r="AM123"/>
  <c r="AL123"/>
  <c r="AK123"/>
  <c r="AJ123"/>
  <c r="M123"/>
  <c r="F123"/>
  <c r="AE123" s="1"/>
  <c r="AN122"/>
  <c r="M122"/>
  <c r="M125" s="1"/>
  <c r="F122"/>
  <c r="AO122" s="1"/>
  <c r="AN100"/>
  <c r="AM100"/>
  <c r="AL100"/>
  <c r="AK100"/>
  <c r="AJ100"/>
  <c r="M100"/>
  <c r="F100"/>
  <c r="AE100" s="1"/>
  <c r="AN98"/>
  <c r="AM98"/>
  <c r="AL98"/>
  <c r="AK98"/>
  <c r="AJ98"/>
  <c r="M98"/>
  <c r="F98"/>
  <c r="AE98" s="1"/>
  <c r="AO17"/>
  <c r="AN17"/>
  <c r="AM17"/>
  <c r="AL17"/>
  <c r="AK17"/>
  <c r="AJ17"/>
  <c r="AD17"/>
  <c r="AC17"/>
  <c r="AB17"/>
  <c r="AA17"/>
  <c r="Z17"/>
  <c r="M17"/>
  <c r="F17"/>
  <c r="AE17" s="1"/>
  <c r="AN13"/>
  <c r="AM13"/>
  <c r="AL13"/>
  <c r="AK13"/>
  <c r="AJ13"/>
  <c r="AD13"/>
  <c r="AC13"/>
  <c r="AB13"/>
  <c r="AA13"/>
  <c r="Z13"/>
  <c r="M13"/>
  <c r="F13"/>
  <c r="AE13" s="1"/>
  <c r="AN12"/>
  <c r="AM12"/>
  <c r="AL12"/>
  <c r="AK12"/>
  <c r="AJ12"/>
  <c r="AD12"/>
  <c r="AC12"/>
  <c r="AB12"/>
  <c r="AA12"/>
  <c r="Z12"/>
  <c r="M12"/>
  <c r="F12"/>
  <c r="AE12" s="1"/>
  <c r="AN11"/>
  <c r="AM11"/>
  <c r="AL11"/>
  <c r="AK11"/>
  <c r="AJ11"/>
  <c r="AD11"/>
  <c r="AC11"/>
  <c r="AB11"/>
  <c r="AA11"/>
  <c r="Z11"/>
  <c r="M11"/>
  <c r="F11"/>
  <c r="AE11" s="1"/>
  <c r="AN9"/>
  <c r="AM9"/>
  <c r="AL9"/>
  <c r="AK9"/>
  <c r="AJ9"/>
  <c r="AD9"/>
  <c r="AC9"/>
  <c r="AB9"/>
  <c r="AA9"/>
  <c r="Z9"/>
  <c r="M9"/>
  <c r="F9"/>
  <c r="AE9" s="1"/>
  <c r="Y171"/>
  <c r="B16" i="16" s="1"/>
  <c r="AJ164" i="13"/>
  <c r="AJ171" s="1"/>
  <c r="M16" i="16" s="1"/>
  <c r="AK164" i="13"/>
  <c r="AK171" s="1"/>
  <c r="N16" i="16" s="1"/>
  <c r="AL164" i="13"/>
  <c r="AL171" s="1"/>
  <c r="O16" i="16" s="1"/>
  <c r="AM164" i="13"/>
  <c r="AM171" s="1"/>
  <c r="P16" i="16" s="1"/>
  <c r="AN164" i="13"/>
  <c r="AN171" s="1"/>
  <c r="Q16" i="16" s="1"/>
  <c r="AO164" i="13"/>
  <c r="AO171" s="1"/>
  <c r="R16" i="16" s="1"/>
  <c r="AJ165" i="13"/>
  <c r="M10" i="16" s="1"/>
  <c r="AK165" i="13"/>
  <c r="N10" i="16" s="1"/>
  <c r="AL165" i="13"/>
  <c r="O10" i="16" s="1"/>
  <c r="AM165" i="13"/>
  <c r="P10" i="16" s="1"/>
  <c r="AN165" i="13"/>
  <c r="Q10" i="16" s="1"/>
  <c r="AI164" i="13"/>
  <c r="AI171" s="1"/>
  <c r="L16" i="16" s="1"/>
  <c r="AI165" i="13"/>
  <c r="L10" i="16" s="1"/>
  <c r="AI166" i="13"/>
  <c r="L11" i="16" s="1"/>
  <c r="Z164" i="13"/>
  <c r="Z171" s="1"/>
  <c r="C16" i="16" s="1"/>
  <c r="AA164" i="13"/>
  <c r="AA171" s="1"/>
  <c r="D16" i="16" s="1"/>
  <c r="AB164" i="13"/>
  <c r="AB171" s="1"/>
  <c r="E16" i="16" s="1"/>
  <c r="AC164" i="13"/>
  <c r="AC171" s="1"/>
  <c r="F16" i="16" s="1"/>
  <c r="AD164" i="13"/>
  <c r="AD171" s="1"/>
  <c r="G16" i="16" s="1"/>
  <c r="AE164" i="13"/>
  <c r="AE171" s="1"/>
  <c r="H16" i="16" s="1"/>
  <c r="Z165" i="13"/>
  <c r="C10" i="16" s="1"/>
  <c r="AA165" i="13"/>
  <c r="D10" i="16" s="1"/>
  <c r="AB165" i="13"/>
  <c r="E10" i="16" s="1"/>
  <c r="AC165" i="13"/>
  <c r="F10" i="16" s="1"/>
  <c r="AD165" i="13"/>
  <c r="G10" i="16" s="1"/>
  <c r="Y170" i="13"/>
  <c r="B15" i="16" s="1"/>
  <c r="Y169" i="13"/>
  <c r="B14" i="16" s="1"/>
  <c r="AI163" i="13"/>
  <c r="AI170" s="1"/>
  <c r="L15" i="16" s="1"/>
  <c r="AI162" i="13"/>
  <c r="AI169" s="1"/>
  <c r="L14" i="16" s="1"/>
  <c r="AO166" i="13"/>
  <c r="R11" i="16" s="1"/>
  <c r="AN166" i="13"/>
  <c r="Q11" i="16" s="1"/>
  <c r="AM166" i="13"/>
  <c r="P11" i="16" s="1"/>
  <c r="AL166" i="13"/>
  <c r="O11" i="16" s="1"/>
  <c r="AK166" i="13"/>
  <c r="N11" i="16" s="1"/>
  <c r="AJ166" i="13"/>
  <c r="M11" i="16" s="1"/>
  <c r="AA166" i="13"/>
  <c r="D11" i="16" s="1"/>
  <c r="AB166" i="13"/>
  <c r="E11" i="16" s="1"/>
  <c r="AC166" i="13"/>
  <c r="F11" i="16" s="1"/>
  <c r="AD166" i="13"/>
  <c r="G11" i="16" s="1"/>
  <c r="AE166" i="13"/>
  <c r="H11" i="16" s="1"/>
  <c r="Z166" i="13"/>
  <c r="C11" i="16" s="1"/>
  <c r="AO153" i="13"/>
  <c r="AN153"/>
  <c r="AM153"/>
  <c r="AL153"/>
  <c r="AK153"/>
  <c r="AJ153"/>
  <c r="AO152"/>
  <c r="AN152"/>
  <c r="AM152"/>
  <c r="AL152"/>
  <c r="AK152"/>
  <c r="AJ152"/>
  <c r="AO151"/>
  <c r="AN151"/>
  <c r="AM151"/>
  <c r="AL151"/>
  <c r="AK151"/>
  <c r="AJ151"/>
  <c r="AO150"/>
  <c r="AN150"/>
  <c r="AM150"/>
  <c r="AL150"/>
  <c r="AK150"/>
  <c r="AJ150"/>
  <c r="AO149"/>
  <c r="AN149"/>
  <c r="AM149"/>
  <c r="AL149"/>
  <c r="AK149"/>
  <c r="AJ149"/>
  <c r="AO148"/>
  <c r="AN148"/>
  <c r="AM148"/>
  <c r="AL148"/>
  <c r="AK148"/>
  <c r="AJ148"/>
  <c r="AO147"/>
  <c r="AN147"/>
  <c r="AM147"/>
  <c r="AL147"/>
  <c r="AK147"/>
  <c r="AJ147"/>
  <c r="AO96"/>
  <c r="AN96"/>
  <c r="AM96"/>
  <c r="AL96"/>
  <c r="AK96"/>
  <c r="AJ96"/>
  <c r="M147"/>
  <c r="M153"/>
  <c r="M152"/>
  <c r="M151"/>
  <c r="O151" s="1"/>
  <c r="M150"/>
  <c r="M149"/>
  <c r="M148"/>
  <c r="M96"/>
  <c r="M101" s="1"/>
  <c r="Z5"/>
  <c r="AJ6"/>
  <c r="AK6"/>
  <c r="AL6"/>
  <c r="AM6"/>
  <c r="AN6"/>
  <c r="AJ7"/>
  <c r="AK7"/>
  <c r="AL7"/>
  <c r="AM7"/>
  <c r="AN7"/>
  <c r="AJ8"/>
  <c r="AK8"/>
  <c r="AL8"/>
  <c r="AM8"/>
  <c r="AN8"/>
  <c r="Z6"/>
  <c r="AA6"/>
  <c r="AB6"/>
  <c r="AC6"/>
  <c r="AD6"/>
  <c r="Z7"/>
  <c r="AA7"/>
  <c r="AB7"/>
  <c r="AC7"/>
  <c r="AD7"/>
  <c r="Z8"/>
  <c r="AA8"/>
  <c r="AB8"/>
  <c r="AC8"/>
  <c r="AD8"/>
  <c r="M6"/>
  <c r="M7"/>
  <c r="M8"/>
  <c r="M5"/>
  <c r="AK5"/>
  <c r="AL5"/>
  <c r="AM5"/>
  <c r="AN5"/>
  <c r="AJ5"/>
  <c r="AA5"/>
  <c r="AB5"/>
  <c r="AC5"/>
  <c r="AD5"/>
  <c r="F7"/>
  <c r="AE7" s="1"/>
  <c r="F96"/>
  <c r="AE96" s="1"/>
  <c r="F147"/>
  <c r="AE147" s="1"/>
  <c r="F151"/>
  <c r="AE151" s="1"/>
  <c r="AC154"/>
  <c r="F5"/>
  <c r="AE5" s="1"/>
  <c r="F6"/>
  <c r="AE6" s="1"/>
  <c r="F8"/>
  <c r="AE8" s="1"/>
  <c r="F148"/>
  <c r="AE148" s="1"/>
  <c r="AE149"/>
  <c r="F150"/>
  <c r="AE150" s="1"/>
  <c r="F152"/>
  <c r="AE152" s="1"/>
  <c r="F153"/>
  <c r="AE153" s="1"/>
  <c r="O153"/>
  <c r="O149"/>
  <c r="AF144" l="1"/>
  <c r="AJ144"/>
  <c r="AL144"/>
  <c r="AN144"/>
  <c r="AJ67"/>
  <c r="AL67"/>
  <c r="AN67"/>
  <c r="M145"/>
  <c r="AK144"/>
  <c r="AM144"/>
  <c r="AK67"/>
  <c r="AM67"/>
  <c r="AC67"/>
  <c r="AB67"/>
  <c r="AP67"/>
  <c r="O152"/>
  <c r="AN18"/>
  <c r="AL18"/>
  <c r="Z144"/>
  <c r="AB144"/>
  <c r="AD144"/>
  <c r="AA67"/>
  <c r="O25"/>
  <c r="AL181"/>
  <c r="AM180"/>
  <c r="AN179"/>
  <c r="AO178"/>
  <c r="AK178"/>
  <c r="AL177"/>
  <c r="O22" i="16" s="1"/>
  <c r="AM192" i="13"/>
  <c r="AL194"/>
  <c r="AK195"/>
  <c r="AO195"/>
  <c r="AN196"/>
  <c r="AJ194"/>
  <c r="AJ179"/>
  <c r="AN181"/>
  <c r="AO180"/>
  <c r="AK180"/>
  <c r="AL179"/>
  <c r="AM178"/>
  <c r="AN177"/>
  <c r="Q22" i="16" s="1"/>
  <c r="AK192" i="13"/>
  <c r="AO192"/>
  <c r="AN194"/>
  <c r="AM195"/>
  <c r="AL196"/>
  <c r="AJ196"/>
  <c r="AJ181"/>
  <c r="AJ178"/>
  <c r="AJ180"/>
  <c r="AJ195"/>
  <c r="AM196"/>
  <c r="AN195"/>
  <c r="AO194"/>
  <c r="AK194"/>
  <c r="AL192"/>
  <c r="AM177"/>
  <c r="AM184" s="1"/>
  <c r="P29" i="16" s="1"/>
  <c r="AL178" i="13"/>
  <c r="AK179"/>
  <c r="AO179"/>
  <c r="AN180"/>
  <c r="AM181"/>
  <c r="AB192"/>
  <c r="AD192"/>
  <c r="AA194"/>
  <c r="AC194"/>
  <c r="AE194"/>
  <c r="AB195"/>
  <c r="AD195"/>
  <c r="AA196"/>
  <c r="AC196"/>
  <c r="AE196"/>
  <c r="Z195"/>
  <c r="Z192"/>
  <c r="AB177"/>
  <c r="AD177"/>
  <c r="AA178"/>
  <c r="AC178"/>
  <c r="AE178"/>
  <c r="AB179"/>
  <c r="AD179"/>
  <c r="AA180"/>
  <c r="AC180"/>
  <c r="AE180"/>
  <c r="AB181"/>
  <c r="AD181"/>
  <c r="Z181"/>
  <c r="Z179"/>
  <c r="Z177"/>
  <c r="AO181"/>
  <c r="AJ177"/>
  <c r="M22" i="16" s="1"/>
  <c r="AJ192" i="13"/>
  <c r="AO196"/>
  <c r="AK196"/>
  <c r="AL195"/>
  <c r="AM194"/>
  <c r="AN192"/>
  <c r="AK177"/>
  <c r="N22" i="16" s="1"/>
  <c r="AO177" i="13"/>
  <c r="AN178"/>
  <c r="AM179"/>
  <c r="AL180"/>
  <c r="AK181"/>
  <c r="AA192"/>
  <c r="AC192"/>
  <c r="AE192"/>
  <c r="AB194"/>
  <c r="AD194"/>
  <c r="AA195"/>
  <c r="AC195"/>
  <c r="AE195"/>
  <c r="AB196"/>
  <c r="AD196"/>
  <c r="Z196"/>
  <c r="Z194"/>
  <c r="AA177"/>
  <c r="AC177"/>
  <c r="AE177"/>
  <c r="AB178"/>
  <c r="AD178"/>
  <c r="AA179"/>
  <c r="AC179"/>
  <c r="AE179"/>
  <c r="AB180"/>
  <c r="AD180"/>
  <c r="AA181"/>
  <c r="AC181"/>
  <c r="AE181"/>
  <c r="Z180"/>
  <c r="Z178"/>
  <c r="O8"/>
  <c r="O6"/>
  <c r="AA124"/>
  <c r="AC124"/>
  <c r="Z67"/>
  <c r="AA193"/>
  <c r="AC193"/>
  <c r="AM193"/>
  <c r="AB193"/>
  <c r="AJ193"/>
  <c r="AN193"/>
  <c r="O7"/>
  <c r="O148"/>
  <c r="O150"/>
  <c r="O147"/>
  <c r="AN124"/>
  <c r="Z124"/>
  <c r="AB124"/>
  <c r="AD124"/>
  <c r="AK193"/>
  <c r="AD193"/>
  <c r="AL193"/>
  <c r="Z193"/>
  <c r="AJ18"/>
  <c r="Z18"/>
  <c r="AM18"/>
  <c r="AK18"/>
  <c r="M18"/>
  <c r="M78"/>
  <c r="M81"/>
  <c r="M86"/>
  <c r="M67"/>
  <c r="O96"/>
  <c r="M154"/>
  <c r="AO98"/>
  <c r="AO89"/>
  <c r="AO84"/>
  <c r="AO5"/>
  <c r="AO8"/>
  <c r="AO7"/>
  <c r="AO6"/>
  <c r="AF18"/>
  <c r="O12"/>
  <c r="AO9"/>
  <c r="AO11"/>
  <c r="AO12"/>
  <c r="AO13"/>
  <c r="AO123"/>
  <c r="O98"/>
  <c r="R9" i="16"/>
  <c r="Q9"/>
  <c r="P9"/>
  <c r="O9"/>
  <c r="N9"/>
  <c r="M9"/>
  <c r="L9"/>
  <c r="H9"/>
  <c r="G9"/>
  <c r="F9"/>
  <c r="E9"/>
  <c r="D9"/>
  <c r="C9"/>
  <c r="L8"/>
  <c r="L7"/>
  <c r="AD18" i="13"/>
  <c r="AC18"/>
  <c r="AB18"/>
  <c r="AA18"/>
  <c r="AD163"/>
  <c r="AE122"/>
  <c r="AF124" s="1"/>
  <c r="AE64"/>
  <c r="AF67" s="1"/>
  <c r="AE65"/>
  <c r="AB163"/>
  <c r="E8" i="16" s="1"/>
  <c r="Z162" i="13"/>
  <c r="Z163"/>
  <c r="C8" i="16" s="1"/>
  <c r="AC163" i="13"/>
  <c r="O136"/>
  <c r="O89"/>
  <c r="M144"/>
  <c r="O64"/>
  <c r="O65"/>
  <c r="O15"/>
  <c r="O16"/>
  <c r="O134"/>
  <c r="AO134"/>
  <c r="O135"/>
  <c r="AO135"/>
  <c r="O137"/>
  <c r="AO137"/>
  <c r="O138"/>
  <c r="O87"/>
  <c r="O88"/>
  <c r="O83"/>
  <c r="AO83"/>
  <c r="AO79"/>
  <c r="AP124" s="1"/>
  <c r="AO80"/>
  <c r="O82"/>
  <c r="O84"/>
  <c r="O79"/>
  <c r="O80"/>
  <c r="O74"/>
  <c r="O77"/>
  <c r="O72"/>
  <c r="O123"/>
  <c r="AO165"/>
  <c r="R10" i="16" s="1"/>
  <c r="O122" i="13"/>
  <c r="AJ122"/>
  <c r="AJ124" s="1"/>
  <c r="AK122"/>
  <c r="AK124" s="1"/>
  <c r="AL122"/>
  <c r="AL124" s="1"/>
  <c r="AM122"/>
  <c r="AM124" s="1"/>
  <c r="O100"/>
  <c r="AO100"/>
  <c r="O17"/>
  <c r="AD162"/>
  <c r="AC162"/>
  <c r="AB162"/>
  <c r="AA162"/>
  <c r="O9"/>
  <c r="O11"/>
  <c r="O13"/>
  <c r="X155"/>
  <c r="O5"/>
  <c r="AK162"/>
  <c r="AL162"/>
  <c r="AM162"/>
  <c r="AN162"/>
  <c r="AJ162"/>
  <c r="AF171"/>
  <c r="I16" i="16" s="1"/>
  <c r="AP171" i="13"/>
  <c r="S16" i="16" s="1"/>
  <c r="AJ154" i="13"/>
  <c r="AK154"/>
  <c r="AM154"/>
  <c r="AN154"/>
  <c r="AP154"/>
  <c r="AF154"/>
  <c r="AA154"/>
  <c r="P22" i="16" l="1"/>
  <c r="AI67" i="13"/>
  <c r="AO163"/>
  <c r="R8" i="16" s="1"/>
  <c r="AO193" i="13"/>
  <c r="AG18"/>
  <c r="H26" i="16"/>
  <c r="AG67" i="13"/>
  <c r="AP144"/>
  <c r="AE193"/>
  <c r="AK184"/>
  <c r="N29" i="16" s="1"/>
  <c r="AL184" i="13"/>
  <c r="O29" i="16" s="1"/>
  <c r="AJ184" i="13"/>
  <c r="M29" i="16" s="1"/>
  <c r="AN184" i="13"/>
  <c r="Q29" i="16" s="1"/>
  <c r="AO162" i="13"/>
  <c r="AO169" s="1"/>
  <c r="R14" i="16" s="1"/>
  <c r="AP18" i="13"/>
  <c r="O78"/>
  <c r="Z155"/>
  <c r="O81"/>
  <c r="AE162"/>
  <c r="AE169" s="1"/>
  <c r="H14" i="16" s="1"/>
  <c r="M124" i="13"/>
  <c r="AD155"/>
  <c r="R23" i="16"/>
  <c r="AC200" i="13"/>
  <c r="F45" i="16" s="1"/>
  <c r="AB200" i="13"/>
  <c r="E45" i="16" s="1"/>
  <c r="AA200" i="13"/>
  <c r="D45" i="16" s="1"/>
  <c r="Z200" i="13"/>
  <c r="AJ169"/>
  <c r="M7" i="16"/>
  <c r="AN169" i="13"/>
  <c r="Q14" i="16" s="1"/>
  <c r="Q7"/>
  <c r="AM169" i="13"/>
  <c r="P14" i="16" s="1"/>
  <c r="P7"/>
  <c r="AL169" i="13"/>
  <c r="O14" i="16" s="1"/>
  <c r="O7"/>
  <c r="AK169" i="13"/>
  <c r="N14" i="16" s="1"/>
  <c r="N7"/>
  <c r="AA169" i="13"/>
  <c r="D14" i="16" s="1"/>
  <c r="D7"/>
  <c r="AB169" i="13"/>
  <c r="E14" i="16" s="1"/>
  <c r="E7"/>
  <c r="AC169" i="13"/>
  <c r="F14" i="16" s="1"/>
  <c r="F7"/>
  <c r="AD169" i="13"/>
  <c r="G14" i="16" s="1"/>
  <c r="G7"/>
  <c r="AO170" i="13"/>
  <c r="R15" i="16" s="1"/>
  <c r="AC170" i="13"/>
  <c r="F15" i="16" s="1"/>
  <c r="F8"/>
  <c r="Z169" i="13"/>
  <c r="C7" i="16"/>
  <c r="AD170" i="13"/>
  <c r="G15" i="16" s="1"/>
  <c r="G8"/>
  <c r="AC155" i="13"/>
  <c r="Q41" i="16"/>
  <c r="P41"/>
  <c r="O41"/>
  <c r="N41"/>
  <c r="M41"/>
  <c r="R40"/>
  <c r="Q40"/>
  <c r="P40"/>
  <c r="O40"/>
  <c r="N40"/>
  <c r="M40"/>
  <c r="H41"/>
  <c r="G41"/>
  <c r="F41"/>
  <c r="E41"/>
  <c r="D41"/>
  <c r="C41"/>
  <c r="H40"/>
  <c r="G40"/>
  <c r="F40"/>
  <c r="E40"/>
  <c r="D40"/>
  <c r="C40"/>
  <c r="R26"/>
  <c r="Q26"/>
  <c r="P26"/>
  <c r="O26"/>
  <c r="N26"/>
  <c r="M26"/>
  <c r="R25"/>
  <c r="Q25"/>
  <c r="P25"/>
  <c r="O25"/>
  <c r="N25"/>
  <c r="M25"/>
  <c r="N24"/>
  <c r="M24"/>
  <c r="R41"/>
  <c r="Z185" i="13"/>
  <c r="C23" i="16"/>
  <c r="AA185" i="13"/>
  <c r="D30" i="16" s="1"/>
  <c r="D23"/>
  <c r="AB185" i="13"/>
  <c r="E30" i="16" s="1"/>
  <c r="E23"/>
  <c r="AC185" i="13"/>
  <c r="F30" i="16" s="1"/>
  <c r="F23"/>
  <c r="AD185" i="13"/>
  <c r="G30" i="16" s="1"/>
  <c r="G23"/>
  <c r="AE185" i="13"/>
  <c r="H30" i="16" s="1"/>
  <c r="H23"/>
  <c r="AA184" i="13"/>
  <c r="D29" i="16" s="1"/>
  <c r="D22"/>
  <c r="AB184" i="13"/>
  <c r="E29" i="16" s="1"/>
  <c r="E22"/>
  <c r="AC184" i="13"/>
  <c r="F29" i="16" s="1"/>
  <c r="F22"/>
  <c r="AD184" i="13"/>
  <c r="G29" i="16" s="1"/>
  <c r="G22"/>
  <c r="AE184" i="13"/>
  <c r="H29" i="16" s="1"/>
  <c r="H22"/>
  <c r="Z184" i="13"/>
  <c r="C29" i="16" s="1"/>
  <c r="C22"/>
  <c r="AK186" i="13"/>
  <c r="N31" i="16" s="1"/>
  <c r="AJ186" i="13"/>
  <c r="C25" i="16"/>
  <c r="D25"/>
  <c r="E25"/>
  <c r="F25"/>
  <c r="G25"/>
  <c r="H25"/>
  <c r="C26"/>
  <c r="D26"/>
  <c r="E26"/>
  <c r="F26"/>
  <c r="G26"/>
  <c r="AA155" i="13"/>
  <c r="AI18"/>
  <c r="AG154"/>
  <c r="AP155"/>
  <c r="O86"/>
  <c r="AM163"/>
  <c r="AN163"/>
  <c r="AL163"/>
  <c r="AK163"/>
  <c r="AJ163"/>
  <c r="AB170"/>
  <c r="E15" i="16" s="1"/>
  <c r="AA163" i="13"/>
  <c r="Z170"/>
  <c r="C15" i="16" s="1"/>
  <c r="AL154" i="13"/>
  <c r="R7" i="16" l="1"/>
  <c r="H7"/>
  <c r="AO185" i="13"/>
  <c r="R30" i="16" s="1"/>
  <c r="F38"/>
  <c r="D38"/>
  <c r="AF184" i="13"/>
  <c r="I29" i="16" s="1"/>
  <c r="E38"/>
  <c r="C38"/>
  <c r="AN155" i="13"/>
  <c r="AG144"/>
  <c r="AJ155"/>
  <c r="AK155"/>
  <c r="AM155"/>
  <c r="AL155"/>
  <c r="AB155"/>
  <c r="M23" i="16"/>
  <c r="AJ185" i="13"/>
  <c r="N23" i="16"/>
  <c r="AK185" i="13"/>
  <c r="N30" i="16" s="1"/>
  <c r="O23"/>
  <c r="AL185" i="13"/>
  <c r="O30" i="16" s="1"/>
  <c r="AA170" i="13"/>
  <c r="D15" i="16" s="1"/>
  <c r="D8"/>
  <c r="AJ170" i="13"/>
  <c r="M15" i="16" s="1"/>
  <c r="M8"/>
  <c r="AK170" i="13"/>
  <c r="N15" i="16" s="1"/>
  <c r="N8"/>
  <c r="AL170" i="13"/>
  <c r="O15" i="16" s="1"/>
  <c r="O8"/>
  <c r="AN170" i="13"/>
  <c r="Q15" i="16" s="1"/>
  <c r="Q8"/>
  <c r="AM170" i="13"/>
  <c r="P15" i="16" s="1"/>
  <c r="P8"/>
  <c r="R22"/>
  <c r="AO184" i="13"/>
  <c r="O24" i="16"/>
  <c r="AL186" i="13"/>
  <c r="O31" i="16" s="1"/>
  <c r="P24"/>
  <c r="AM186" i="13"/>
  <c r="P31" i="16" s="1"/>
  <c r="Q24"/>
  <c r="AN186" i="13"/>
  <c r="Q31" i="16" s="1"/>
  <c r="R24"/>
  <c r="AO186" i="13"/>
  <c r="R31" i="16" s="1"/>
  <c r="AA199" i="13"/>
  <c r="D44" i="16" s="1"/>
  <c r="D37"/>
  <c r="AB199" i="13"/>
  <c r="E44" i="16" s="1"/>
  <c r="E37"/>
  <c r="AC199" i="13"/>
  <c r="F44" i="16" s="1"/>
  <c r="F37"/>
  <c r="AD199" i="13"/>
  <c r="G44" i="16" s="1"/>
  <c r="G37"/>
  <c r="AE199" i="13"/>
  <c r="H44" i="16" s="1"/>
  <c r="H37"/>
  <c r="AD200" i="13"/>
  <c r="G45" i="16" s="1"/>
  <c r="G38"/>
  <c r="AE200" i="13"/>
  <c r="H45" i="16" s="1"/>
  <c r="H38"/>
  <c r="Z201" i="13"/>
  <c r="C39" i="16"/>
  <c r="AA201" i="13"/>
  <c r="D46" i="16" s="1"/>
  <c r="D39"/>
  <c r="AB201" i="13"/>
  <c r="E46" i="16" s="1"/>
  <c r="E39"/>
  <c r="AC201" i="13"/>
  <c r="F46" i="16" s="1"/>
  <c r="F39"/>
  <c r="AD201" i="13"/>
  <c r="G46" i="16" s="1"/>
  <c r="G39"/>
  <c r="AE201" i="13"/>
  <c r="H46" i="16" s="1"/>
  <c r="H39"/>
  <c r="C37"/>
  <c r="Z199" i="13"/>
  <c r="AJ199"/>
  <c r="M37" i="16"/>
  <c r="AK199" i="13"/>
  <c r="N44" i="16" s="1"/>
  <c r="N37"/>
  <c r="AL199" i="13"/>
  <c r="O44" i="16" s="1"/>
  <c r="O37"/>
  <c r="AM199" i="13"/>
  <c r="P44" i="16" s="1"/>
  <c r="P37"/>
  <c r="AN199" i="13"/>
  <c r="Q44" i="16" s="1"/>
  <c r="Q37"/>
  <c r="AO199" i="13"/>
  <c r="R44" i="16" s="1"/>
  <c r="R37"/>
  <c r="AJ200" i="13"/>
  <c r="M38" i="16"/>
  <c r="AK200" i="13"/>
  <c r="N45" i="16" s="1"/>
  <c r="N38"/>
  <c r="AL200" i="13"/>
  <c r="O45" i="16" s="1"/>
  <c r="O38"/>
  <c r="AM200" i="13"/>
  <c r="P45" i="16" s="1"/>
  <c r="P38"/>
  <c r="AN200" i="13"/>
  <c r="Q45" i="16" s="1"/>
  <c r="Q38"/>
  <c r="AO200" i="13"/>
  <c r="R45" i="16" s="1"/>
  <c r="R38"/>
  <c r="AJ201" i="13"/>
  <c r="M39" i="16"/>
  <c r="AK201" i="13"/>
  <c r="N46" i="16" s="1"/>
  <c r="N39"/>
  <c r="AL201" i="13"/>
  <c r="O46" i="16" s="1"/>
  <c r="O39"/>
  <c r="AM201" i="13"/>
  <c r="P46" i="16" s="1"/>
  <c r="P39"/>
  <c r="AN201" i="13"/>
  <c r="Q46" i="16" s="1"/>
  <c r="Q39"/>
  <c r="AO201" i="13"/>
  <c r="R46" i="16" s="1"/>
  <c r="R39"/>
  <c r="C14"/>
  <c r="AF169" i="13"/>
  <c r="I14" i="16" s="1"/>
  <c r="M14"/>
  <c r="AP169" i="13"/>
  <c r="S14" i="16" s="1"/>
  <c r="C45"/>
  <c r="AE186" i="13"/>
  <c r="H31" i="16" s="1"/>
  <c r="H24"/>
  <c r="AD186" i="13"/>
  <c r="G31" i="16" s="1"/>
  <c r="G24"/>
  <c r="AC186" i="13"/>
  <c r="F31" i="16" s="1"/>
  <c r="F24"/>
  <c r="AB186" i="13"/>
  <c r="E31" i="16" s="1"/>
  <c r="E24"/>
  <c r="AA186" i="13"/>
  <c r="D31" i="16" s="1"/>
  <c r="D24"/>
  <c r="Z186" i="13"/>
  <c r="C31" i="16" s="1"/>
  <c r="C24"/>
  <c r="M31"/>
  <c r="C30"/>
  <c r="AF185" i="13"/>
  <c r="I30" i="16" s="1"/>
  <c r="AI154" i="13"/>
  <c r="AG124"/>
  <c r="AI124"/>
  <c r="AE163"/>
  <c r="AF155"/>
  <c r="AF200" l="1"/>
  <c r="I45" i="16" s="1"/>
  <c r="AP170" i="13"/>
  <c r="AP172" s="1"/>
  <c r="AP186"/>
  <c r="S31" i="16" s="1"/>
  <c r="AF186" i="13"/>
  <c r="AF187" s="1"/>
  <c r="AF158"/>
  <c r="AI144"/>
  <c r="AE170"/>
  <c r="H8" i="16"/>
  <c r="Q23"/>
  <c r="AN185" i="13"/>
  <c r="Q30" i="16" s="1"/>
  <c r="P23"/>
  <c r="AM185" i="13"/>
  <c r="P30" i="16" s="1"/>
  <c r="AP201" i="13"/>
  <c r="S46" i="16" s="1"/>
  <c r="M46"/>
  <c r="AP200" i="13"/>
  <c r="S45" i="16" s="1"/>
  <c r="M45"/>
  <c r="AP199" i="13"/>
  <c r="M44" i="16"/>
  <c r="AF199" i="13"/>
  <c r="C44" i="16"/>
  <c r="AF201" i="13"/>
  <c r="I46" i="16" s="1"/>
  <c r="C46"/>
  <c r="R29"/>
  <c r="AP184" i="13"/>
  <c r="M30" i="16"/>
  <c r="AP185" i="13" l="1"/>
  <c r="S30" i="16" s="1"/>
  <c r="I31"/>
  <c r="S15"/>
  <c r="S29"/>
  <c r="AF202" i="13"/>
  <c r="I47" i="16" s="1"/>
  <c r="I44"/>
  <c r="AP202" i="13"/>
  <c r="S44" i="16"/>
  <c r="H15"/>
  <c r="AF170" i="13"/>
  <c r="S17" i="16"/>
  <c r="I32"/>
  <c r="AP187" i="13" l="1"/>
  <c r="AP204" s="1"/>
  <c r="AF204"/>
  <c r="I15" i="16"/>
  <c r="AF172" i="13"/>
  <c r="AG158" s="1"/>
  <c r="S47" i="16"/>
  <c r="AP203" i="13"/>
  <c r="S48" i="16" s="1"/>
  <c r="S32" l="1"/>
  <c r="AP188" i="13"/>
  <c r="S33" i="16" s="1"/>
  <c r="I17"/>
  <c r="AP173" i="13"/>
  <c r="S18" i="16" s="1"/>
</calcChain>
</file>

<file path=xl/sharedStrings.xml><?xml version="1.0" encoding="utf-8"?>
<sst xmlns="http://schemas.openxmlformats.org/spreadsheetml/2006/main" count="1231" uniqueCount="318">
  <si>
    <t>Item</t>
  </si>
  <si>
    <t>Material Amt</t>
  </si>
  <si>
    <t>Units</t>
  </si>
  <si>
    <t>Material Cost</t>
  </si>
  <si>
    <t>Material Cost/Unit</t>
  </si>
  <si>
    <t xml:space="preserve"> </t>
  </si>
  <si>
    <t>Material</t>
  </si>
  <si>
    <t>Aluminum</t>
  </si>
  <si>
    <t>hours</t>
  </si>
  <si>
    <t>N/A</t>
  </si>
  <si>
    <t>MT Time</t>
  </si>
  <si>
    <t>Shop Time</t>
  </si>
  <si>
    <t>Materials Totals</t>
  </si>
  <si>
    <t>ea.</t>
  </si>
  <si>
    <t>Shop Labor</t>
  </si>
  <si>
    <t>Tech Labor</t>
  </si>
  <si>
    <t>M&amp;S Cost</t>
  </si>
  <si>
    <t xml:space="preserve">     -Handles</t>
  </si>
  <si>
    <t xml:space="preserve">     -Box Sides</t>
  </si>
  <si>
    <t xml:space="preserve">     -Fork Truck Skids</t>
  </si>
  <si>
    <t xml:space="preserve">     -Packing</t>
  </si>
  <si>
    <t xml:space="preserve">     -Shipping Cost</t>
  </si>
  <si>
    <t>Galvanized</t>
  </si>
  <si>
    <t>1" Clear Plywood</t>
  </si>
  <si>
    <t>sheets</t>
  </si>
  <si>
    <t>Fir 4X4</t>
  </si>
  <si>
    <t>bd/ft</t>
  </si>
  <si>
    <t>Foam</t>
  </si>
  <si>
    <t>m^3</t>
  </si>
  <si>
    <t>Eng Time</t>
  </si>
  <si>
    <t>Des Time</t>
  </si>
  <si>
    <t>Engineering</t>
  </si>
  <si>
    <t>Design</t>
  </si>
  <si>
    <t>Unit</t>
  </si>
  <si>
    <t>Labor</t>
  </si>
  <si>
    <t>UC Number</t>
  </si>
  <si>
    <t>Estimate</t>
  </si>
  <si>
    <t>Est Remaining</t>
  </si>
  <si>
    <t>Overage</t>
  </si>
  <si>
    <t>CMM</t>
  </si>
  <si>
    <t>Each</t>
  </si>
  <si>
    <t>lb</t>
  </si>
  <si>
    <t># (line-item-zeroing)</t>
  </si>
  <si>
    <t>Base or Contingency</t>
  </si>
  <si>
    <t>Shop</t>
  </si>
  <si>
    <t>M_Tech</t>
  </si>
  <si>
    <t>Engineer</t>
  </si>
  <si>
    <t>Designer</t>
  </si>
  <si>
    <t>YEAR</t>
  </si>
  <si>
    <t>B</t>
  </si>
  <si>
    <t>C</t>
  </si>
  <si>
    <t>BASE</t>
  </si>
  <si>
    <t>CONTINGENCY</t>
  </si>
  <si>
    <t>Year</t>
  </si>
  <si>
    <t>Shop Cost</t>
  </si>
  <si>
    <t>MT Cost</t>
  </si>
  <si>
    <t>Totals</t>
  </si>
  <si>
    <t>Hytec</t>
  </si>
  <si>
    <t>LANL</t>
  </si>
  <si>
    <t>LBNL Cost</t>
  </si>
  <si>
    <t>Material Batches</t>
  </si>
  <si>
    <t>Acceptance</t>
  </si>
  <si>
    <t>Bleed Studies</t>
  </si>
  <si>
    <t>Test</t>
  </si>
  <si>
    <t>M55J</t>
  </si>
  <si>
    <t>Order</t>
  </si>
  <si>
    <t>Bagging</t>
  </si>
  <si>
    <t>m^2</t>
  </si>
  <si>
    <t>Material Batches Subtotal</t>
  </si>
  <si>
    <t>Expendables</t>
  </si>
  <si>
    <t>Plate Lamination</t>
  </si>
  <si>
    <t>Material Test</t>
  </si>
  <si>
    <t>Batch</t>
  </si>
  <si>
    <t>Cutter</t>
  </si>
  <si>
    <t>Labor Cost Total (includes contingency)</t>
  </si>
  <si>
    <t>Shipping</t>
  </si>
  <si>
    <t>Materials Sub Totals</t>
  </si>
  <si>
    <t>Tooling</t>
  </si>
  <si>
    <t>Base Labor</t>
  </si>
  <si>
    <t>Sum</t>
  </si>
  <si>
    <t xml:space="preserve">     -Packing Foam (waterjet parts)</t>
  </si>
  <si>
    <t xml:space="preserve">     -Box Fab--Carpenters not MT, but cost scaled</t>
  </si>
  <si>
    <t>Shipping Subtotal</t>
  </si>
  <si>
    <t>Hysol 9320</t>
  </si>
  <si>
    <t>Base</t>
  </si>
  <si>
    <t>Contingency</t>
  </si>
  <si>
    <t>External Work Excluded…</t>
  </si>
  <si>
    <t>Cost With Contingency</t>
  </si>
  <si>
    <t>Base Cost</t>
  </si>
  <si>
    <t>Underage(-)</t>
  </si>
  <si>
    <t>Spent To Date</t>
  </si>
  <si>
    <t>Protot or Production</t>
  </si>
  <si>
    <t>PD</t>
  </si>
  <si>
    <t>Sum Logic Code</t>
  </si>
  <si>
    <t>TRACKING</t>
  </si>
  <si>
    <t>BPD</t>
  </si>
  <si>
    <t>BPT</t>
  </si>
  <si>
    <t>CPT</t>
  </si>
  <si>
    <t>CPD</t>
  </si>
  <si>
    <t>checksum</t>
  </si>
  <si>
    <t>Production Base Cost</t>
  </si>
  <si>
    <t>Production Contingency Cost</t>
  </si>
  <si>
    <t>Percent</t>
  </si>
  <si>
    <t>LBNL Contingency</t>
  </si>
  <si>
    <t>Hysol Adhesive Pre-Production</t>
  </si>
  <si>
    <t>Pre-Production Base Cost</t>
  </si>
  <si>
    <t>Pre-Production Contingency Cost</t>
  </si>
  <si>
    <t>Parylene Coating (100% Production)</t>
  </si>
  <si>
    <t>Shipping (100% Production)</t>
  </si>
  <si>
    <t>Thicker M55J</t>
  </si>
  <si>
    <t>Cloth CN60</t>
  </si>
  <si>
    <t>CN60</t>
  </si>
  <si>
    <t>Materials and Labor</t>
  </si>
  <si>
    <t>Waterjet</t>
  </si>
  <si>
    <t>Plate (for all parts + spares)</t>
  </si>
  <si>
    <t>Trim to Size (cuts all face sheets, both styles)</t>
  </si>
  <si>
    <t>Core</t>
  </si>
  <si>
    <t>Carbon Foam Core</t>
  </si>
  <si>
    <t>Allcomp Densified</t>
  </si>
  <si>
    <t>bdft</t>
  </si>
  <si>
    <t>Rough thickness core</t>
  </si>
  <si>
    <t>Trim to shape (all styles)</t>
  </si>
  <si>
    <t>Inserts</t>
  </si>
  <si>
    <t>Stave Mounts</t>
  </si>
  <si>
    <t>CF PEEK</t>
  </si>
  <si>
    <t>Barrel Shell Components</t>
  </si>
  <si>
    <t>Pixel Support Sub Total</t>
  </si>
  <si>
    <t>Interface Parts</t>
  </si>
  <si>
    <t>Base Plate</t>
  </si>
  <si>
    <t>Stave Mount Tooling (Layer 2)</t>
  </si>
  <si>
    <t>Insert Location Plate (Layer 2)</t>
  </si>
  <si>
    <t>Caul Plate (Layer 2)</t>
  </si>
  <si>
    <t>Base Plate (Layer 2)</t>
  </si>
  <si>
    <t>Assembly</t>
  </si>
  <si>
    <t>Inserts (contingency)</t>
  </si>
  <si>
    <t>Stave Mounts (Contingency)</t>
  </si>
  <si>
    <t>Barrel Shell Assembly</t>
  </si>
  <si>
    <t>Half Shell</t>
  </si>
  <si>
    <t>Welded Tube Assembly</t>
  </si>
  <si>
    <t>Steel</t>
  </si>
  <si>
    <t>Nickel Plate</t>
  </si>
  <si>
    <t>Contract</t>
  </si>
  <si>
    <t>Trim Fixture</t>
  </si>
  <si>
    <t>Lamination Tool</t>
  </si>
  <si>
    <t>Machining Tool</t>
  </si>
  <si>
    <t>Support Beam Tooling</t>
  </si>
  <si>
    <t>Bottom Skin Tool</t>
  </si>
  <si>
    <t>Top Skin Tool</t>
  </si>
  <si>
    <t>Core Bond Tool</t>
  </si>
  <si>
    <t>Lamination Tool Iteration</t>
  </si>
  <si>
    <t>Part Tooling</t>
  </si>
  <si>
    <t>Half Shell Production</t>
  </si>
  <si>
    <t>Part Trim (Contingency)</t>
  </si>
  <si>
    <t>Lamination Tool Iteration (Contingency)</t>
  </si>
  <si>
    <t>Re-Machine (contingency)</t>
  </si>
  <si>
    <t>Nickel Plate (contingency)</t>
  </si>
  <si>
    <t>Tool Material CTE Study</t>
  </si>
  <si>
    <t>Ply Trim and Kit</t>
  </si>
  <si>
    <t>Part Lamination</t>
  </si>
  <si>
    <t>Part Lamination (contingency)</t>
  </si>
  <si>
    <t>Prototype Ring (contingency if re-tooled)</t>
  </si>
  <si>
    <t>Support Beam Production</t>
  </si>
  <si>
    <t>Part Subtotal</t>
  </si>
  <si>
    <t>Base Laminate</t>
  </si>
  <si>
    <t>Base Laminate (contingency)</t>
  </si>
  <si>
    <t>Top Laminate</t>
  </si>
  <si>
    <t>Top Laminate (contingency)</t>
  </si>
  <si>
    <t>Core Bond</t>
  </si>
  <si>
    <t>Core Bond (contingency)</t>
  </si>
  <si>
    <t>Top Skin Bonding</t>
  </si>
  <si>
    <t>Top Skin Bonding (contingency)</t>
  </si>
  <si>
    <t>Machined Assembly</t>
  </si>
  <si>
    <t>Machined Assembly (contingency)</t>
  </si>
  <si>
    <t>Assembly Tooling</t>
  </si>
  <si>
    <t>Arch Supports</t>
  </si>
  <si>
    <t>Process/Shipping Container</t>
  </si>
  <si>
    <t>Tool Assembly</t>
  </si>
  <si>
    <t>Production Assembly</t>
  </si>
  <si>
    <t>End Flange to Transition Ring Bond</t>
  </si>
  <si>
    <t>Support Beam bond</t>
  </si>
  <si>
    <t>Shell Bond</t>
  </si>
  <si>
    <t>CMM Survey of Bonded Assembly</t>
  </si>
  <si>
    <t>CMM Survey of Bonded Assembly with Pixel Mounts</t>
  </si>
  <si>
    <t>Barrel Support Estimate</t>
  </si>
  <si>
    <t>Base Plate (Layer 1)</t>
  </si>
  <si>
    <t>Caul Plate (Layer 1)</t>
  </si>
  <si>
    <t>Insert Location Plate (Layer 1)</t>
  </si>
  <si>
    <t>Stave Mount Tooling (Layer 1)</t>
  </si>
  <si>
    <t>Base Plate (Layer 3)</t>
  </si>
  <si>
    <t>Caul Plate (Layer 3)</t>
  </si>
  <si>
    <t>Insert Location Plate (Layer 3)</t>
  </si>
  <si>
    <t>Stave Mount Tooling (Layer 3)</t>
  </si>
  <si>
    <t>Base Plate (Layer 4)</t>
  </si>
  <si>
    <t>Caul Plate (Layer 4)</t>
  </si>
  <si>
    <t>Insert Location Plate (Layer 4)</t>
  </si>
  <si>
    <t>Gusset Plate Tooling</t>
  </si>
  <si>
    <t>Gusset Plate Production</t>
  </si>
  <si>
    <t>Part Machining</t>
  </si>
  <si>
    <t>Part Machining (Contingency)</t>
  </si>
  <si>
    <t>Layer 1 Structure</t>
  </si>
  <si>
    <t>Layer 1 Structure (contingency)</t>
  </si>
  <si>
    <t>Layer 1 Stave Mounts</t>
  </si>
  <si>
    <t>Layer 2 Stave Mounts</t>
  </si>
  <si>
    <t>Layer 3 Structure</t>
  </si>
  <si>
    <t>Layer 2 Structure</t>
  </si>
  <si>
    <t>Layer 4 Structure</t>
  </si>
  <si>
    <t>Layer 3 Stave Mounts</t>
  </si>
  <si>
    <t>Layer 1 Stave Mounts (contingency)</t>
  </si>
  <si>
    <t>Layer 2 Stave Mounts (contingency)</t>
  </si>
  <si>
    <t>Layer 2 Structure (contingency)</t>
  </si>
  <si>
    <t>Layer 4 Structure (contingency)</t>
  </si>
  <si>
    <t>Material Estimates per component</t>
  </si>
  <si>
    <t>Values used to estimate Size/Cost of Batch Orders--Does not report to Cost Summary</t>
  </si>
  <si>
    <t>Descriptor</t>
  </si>
  <si>
    <t>Quantity</t>
  </si>
  <si>
    <t>CPT (microns)</t>
  </si>
  <si>
    <t>Density (g/cc)</t>
  </si>
  <si>
    <t>Finished Form</t>
  </si>
  <si>
    <t>% Waste</t>
  </si>
  <si>
    <t>Length (cm)</t>
  </si>
  <si>
    <t>Diameter/Width (cm)</t>
  </si>
  <si>
    <t>Thickness (cm)</t>
  </si>
  <si>
    <t>Volume (cc)</t>
  </si>
  <si>
    <t>Mass (g)</t>
  </si>
  <si>
    <t>Pre-Preg Area  (m^2)</t>
  </si>
  <si>
    <t>Cost Per Unit</t>
  </si>
  <si>
    <t>Choose Unit</t>
  </si>
  <si>
    <t>Cost</t>
  </si>
  <si>
    <t>Prototype Mass</t>
  </si>
  <si>
    <t>Prototype Area</t>
  </si>
  <si>
    <t>/cc</t>
  </si>
  <si>
    <t>Bulk</t>
  </si>
  <si>
    <t>/g</t>
  </si>
  <si>
    <t>Plate</t>
  </si>
  <si>
    <t>/m^2</t>
  </si>
  <si>
    <t>Round</t>
  </si>
  <si>
    <t>Mandrel</t>
  </si>
  <si>
    <t>Pipe</t>
  </si>
  <si>
    <t>n/a</t>
  </si>
  <si>
    <t>Shell</t>
  </si>
  <si>
    <t>Mandrel End Plates</t>
  </si>
  <si>
    <t>CN60 Cloth</t>
  </si>
  <si>
    <t>Laminate</t>
  </si>
  <si>
    <t>Shell Laminate</t>
  </si>
  <si>
    <t>Test Shell Laminate</t>
  </si>
  <si>
    <t>EA9396</t>
  </si>
  <si>
    <t>Adhesive</t>
  </si>
  <si>
    <t>Components</t>
  </si>
  <si>
    <t>CF HoneyComb</t>
  </si>
  <si>
    <t>Machine Fixturing</t>
  </si>
  <si>
    <t>6061-T6</t>
  </si>
  <si>
    <t>Survey/QA jig</t>
  </si>
  <si>
    <t>Total</t>
  </si>
  <si>
    <t>Area (m^2)</t>
  </si>
  <si>
    <t>Production</t>
  </si>
  <si>
    <t>Quarts</t>
  </si>
  <si>
    <t>Prototype Composites</t>
  </si>
  <si>
    <t>Bond Tool Arches</t>
  </si>
  <si>
    <t>Support Beam Tool</t>
  </si>
  <si>
    <t>English</t>
  </si>
  <si>
    <t>Metric</t>
  </si>
  <si>
    <t>Quoted</t>
  </si>
  <si>
    <t>lb/in^3</t>
  </si>
  <si>
    <t>g/cc</t>
  </si>
  <si>
    <t>Cost/Unit</t>
  </si>
  <si>
    <t>$/lb</t>
  </si>
  <si>
    <t>$/g</t>
  </si>
  <si>
    <t>MIC-6</t>
  </si>
  <si>
    <t>7075-T6</t>
  </si>
  <si>
    <t>Titanium</t>
  </si>
  <si>
    <t>6Al4V</t>
  </si>
  <si>
    <t>304SS</t>
  </si>
  <si>
    <t>Carbon Fiber</t>
  </si>
  <si>
    <t>M55J-UDT</t>
  </si>
  <si>
    <t>CN60-PW</t>
  </si>
  <si>
    <t>YSH80A-UDT</t>
  </si>
  <si>
    <t>$/qt</t>
  </si>
  <si>
    <t>$/cc</t>
  </si>
  <si>
    <t>EA9394</t>
  </si>
  <si>
    <t>$/bdft</t>
  </si>
  <si>
    <t>Al HoneyComb</t>
  </si>
  <si>
    <t>Nomex HC</t>
  </si>
  <si>
    <t>Bond Tool Base</t>
  </si>
  <si>
    <t>Support Beams</t>
  </si>
  <si>
    <t>Support Beam Machining Tool</t>
  </si>
  <si>
    <t>Thick Laminate</t>
  </si>
  <si>
    <t>Thick Laminate Test</t>
  </si>
  <si>
    <t>End Flange</t>
  </si>
  <si>
    <t>Mass (kg)</t>
  </si>
  <si>
    <t>Test Lamiante</t>
  </si>
  <si>
    <t>VTX Support Spaceframe</t>
  </si>
  <si>
    <t>Material Acceptance</t>
  </si>
  <si>
    <t>12" Test Panels</t>
  </si>
  <si>
    <t>Test Atticles</t>
  </si>
  <si>
    <t>PEEK</t>
  </si>
  <si>
    <t>Blocks</t>
  </si>
  <si>
    <t>Layer Support Assemblies (and dummy)</t>
  </si>
  <si>
    <t>Stave Mounts (LBNL Engineering)</t>
  </si>
  <si>
    <t>Inserts (LBNL Engineering)</t>
  </si>
  <si>
    <r>
      <rPr>
        <sz val="10"/>
        <color rgb="FFFF0000"/>
        <rFont val="Arial"/>
        <family val="2"/>
      </rPr>
      <t>Transition Ring</t>
    </r>
    <r>
      <rPr>
        <sz val="10"/>
        <rFont val="Arial"/>
        <family val="2"/>
      </rPr>
      <t xml:space="preserve"> Temp Layer 4 Support Tool</t>
    </r>
  </si>
  <si>
    <t>Gusset Plate</t>
  </si>
  <si>
    <t>Half Plate Laminate</t>
  </si>
  <si>
    <t>Order Contingency</t>
  </si>
  <si>
    <r>
      <rPr>
        <b/>
        <sz val="10"/>
        <color rgb="FFFF0000"/>
        <rFont val="Arial"/>
        <family val="2"/>
      </rPr>
      <t>Transition Ring</t>
    </r>
    <r>
      <rPr>
        <b/>
        <sz val="10"/>
        <rFont val="Arial"/>
        <family val="2"/>
      </rPr>
      <t xml:space="preserve"> Temp Support Production</t>
    </r>
  </si>
  <si>
    <t>Prototype Support</t>
  </si>
  <si>
    <t>Production Support</t>
  </si>
  <si>
    <t>Production Support (Contingency)</t>
  </si>
  <si>
    <t>Shell To Layer 4 mounts</t>
  </si>
  <si>
    <t>(LBNL Engineering)</t>
  </si>
  <si>
    <t>Mounts (contingency)</t>
  </si>
  <si>
    <t>Interface Parts (Shell to Layer 4)</t>
  </si>
  <si>
    <t>Prototype Half Shell</t>
  </si>
  <si>
    <t>Production Half Shell</t>
  </si>
  <si>
    <t>Production Half Shell (Contingency)</t>
  </si>
  <si>
    <t>Part Trim (Cutouts)</t>
  </si>
  <si>
    <t>Space Frame Assembly Subtotal</t>
  </si>
  <si>
    <t>Hysol Adhesive Batch</t>
  </si>
  <si>
    <t>Mount Blocks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</si>
</sst>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164" formatCode="&quot;$&quot;#,##0"/>
    <numFmt numFmtId="165" formatCode="0.0"/>
    <numFmt numFmtId="166" formatCode="&quot;$&quot;#,##0.00"/>
    <numFmt numFmtId="167" formatCode="0.0%"/>
    <numFmt numFmtId="168" formatCode="0.000"/>
  </numFmts>
  <fonts count="24">
    <font>
      <sz val="10"/>
      <name val="Arial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trike/>
      <sz val="10"/>
      <name val="Arial"/>
      <family val="2"/>
    </font>
    <font>
      <b/>
      <sz val="11"/>
      <color rgb="FFFF0000"/>
      <name val="Arial"/>
      <family val="2"/>
    </font>
    <font>
      <i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indexed="53"/>
      <name val="Arial"/>
      <family val="2"/>
    </font>
    <font>
      <i/>
      <sz val="9"/>
      <name val="Arial"/>
      <family val="2"/>
    </font>
    <font>
      <sz val="12"/>
      <color rgb="FFFF0000"/>
      <name val="Arial"/>
      <family val="2"/>
    </font>
    <font>
      <sz val="10"/>
      <color indexed="53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0" xfId="0" applyNumberFormat="1" applyBorder="1"/>
    <xf numFmtId="164" fontId="1" fillId="0" borderId="2" xfId="0" applyNumberFormat="1" applyFont="1" applyBorder="1"/>
    <xf numFmtId="3" fontId="1" fillId="0" borderId="2" xfId="0" applyNumberFormat="1" applyFont="1" applyBorder="1"/>
    <xf numFmtId="164" fontId="1" fillId="0" borderId="3" xfId="0" applyNumberFormat="1" applyFont="1" applyBorder="1"/>
    <xf numFmtId="0" fontId="0" fillId="0" borderId="5" xfId="0" applyBorder="1"/>
    <xf numFmtId="164" fontId="0" fillId="0" borderId="6" xfId="0" applyNumberFormat="1" applyBorder="1"/>
    <xf numFmtId="164" fontId="0" fillId="0" borderId="5" xfId="0" applyNumberFormat="1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Fill="1" applyBorder="1"/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textRotation="90"/>
    </xf>
    <xf numFmtId="164" fontId="6" fillId="0" borderId="7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textRotation="90"/>
    </xf>
    <xf numFmtId="6" fontId="2" fillId="0" borderId="0" xfId="0" applyNumberFormat="1" applyFont="1"/>
    <xf numFmtId="0" fontId="0" fillId="0" borderId="0" xfId="0" applyNumberFormat="1" applyBorder="1" applyAlignment="1">
      <alignment horizontal="right"/>
    </xf>
    <xf numFmtId="5" fontId="2" fillId="0" borderId="0" xfId="0" applyNumberFormat="1" applyFont="1"/>
    <xf numFmtId="164" fontId="0" fillId="0" borderId="0" xfId="0" applyNumberFormat="1"/>
    <xf numFmtId="0" fontId="5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9" fillId="0" borderId="0" xfId="0" applyFont="1"/>
    <xf numFmtId="0" fontId="9" fillId="0" borderId="11" xfId="0" applyFont="1" applyBorder="1"/>
    <xf numFmtId="0" fontId="3" fillId="0" borderId="0" xfId="0" applyFont="1"/>
    <xf numFmtId="3" fontId="0" fillId="0" borderId="0" xfId="0" applyNumberFormat="1"/>
    <xf numFmtId="3" fontId="0" fillId="0" borderId="0" xfId="0" applyNumberFormat="1" applyBorder="1"/>
    <xf numFmtId="0" fontId="3" fillId="0" borderId="5" xfId="0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" fillId="0" borderId="0" xfId="0" applyNumberFormat="1" applyFont="1" applyBorder="1"/>
    <xf numFmtId="164" fontId="6" fillId="0" borderId="0" xfId="0" applyNumberFormat="1" applyFont="1" applyBorder="1"/>
    <xf numFmtId="0" fontId="2" fillId="0" borderId="20" xfId="0" applyFont="1" applyBorder="1" applyAlignment="1">
      <alignment horizontal="right"/>
    </xf>
    <xf numFmtId="0" fontId="0" fillId="0" borderId="21" xfId="0" applyBorder="1"/>
    <xf numFmtId="0" fontId="0" fillId="0" borderId="20" xfId="0" applyBorder="1"/>
    <xf numFmtId="0" fontId="0" fillId="0" borderId="8" xfId="0" applyBorder="1"/>
    <xf numFmtId="164" fontId="0" fillId="0" borderId="8" xfId="0" applyNumberFormat="1" applyBorder="1"/>
    <xf numFmtId="0" fontId="2" fillId="0" borderId="21" xfId="0" applyFont="1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2" fillId="0" borderId="28" xfId="0" applyFon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2" fillId="0" borderId="29" xfId="0" applyFont="1" applyBorder="1" applyAlignment="1">
      <alignment horizontal="right"/>
    </xf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11" xfId="0" applyFont="1" applyBorder="1"/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2" xfId="0" applyBorder="1"/>
    <xf numFmtId="3" fontId="1" fillId="0" borderId="1" xfId="0" applyNumberFormat="1" applyFont="1" applyBorder="1"/>
    <xf numFmtId="1" fontId="3" fillId="0" borderId="11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1" fontId="11" fillId="0" borderId="11" xfId="0" applyNumberFormat="1" applyFont="1" applyBorder="1" applyAlignment="1">
      <alignment horizontal="right"/>
    </xf>
    <xf numFmtId="1" fontId="0" fillId="0" borderId="10" xfId="0" applyNumberForma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12" xfId="0" applyFont="1" applyBorder="1" applyAlignment="1">
      <alignment horizontal="right"/>
    </xf>
    <xf numFmtId="166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6" xfId="0" applyFont="1" applyBorder="1" applyAlignment="1">
      <alignment textRotation="90"/>
    </xf>
    <xf numFmtId="0" fontId="2" fillId="0" borderId="12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0" fontId="1" fillId="0" borderId="0" xfId="0" applyFont="1" applyBorder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13" fillId="0" borderId="0" xfId="0" applyFont="1" applyBorder="1"/>
    <xf numFmtId="0" fontId="13" fillId="0" borderId="0" xfId="0" applyFont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6" fontId="14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textRotation="90" wrapText="1"/>
    </xf>
    <xf numFmtId="3" fontId="1" fillId="0" borderId="0" xfId="0" applyNumberFormat="1" applyFont="1"/>
    <xf numFmtId="1" fontId="1" fillId="0" borderId="1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 textRotation="90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Alignment="1">
      <alignment textRotation="90"/>
    </xf>
    <xf numFmtId="164" fontId="0" fillId="0" borderId="11" xfId="0" applyNumberFormat="1" applyBorder="1"/>
    <xf numFmtId="164" fontId="1" fillId="0" borderId="11" xfId="0" applyNumberFormat="1" applyFont="1" applyBorder="1" applyAlignment="1">
      <alignment horizontal="right"/>
    </xf>
    <xf numFmtId="164" fontId="0" fillId="0" borderId="13" xfId="0" applyNumberFormat="1" applyBorder="1"/>
    <xf numFmtId="164" fontId="5" fillId="0" borderId="0" xfId="0" applyNumberFormat="1" applyFont="1" applyFill="1" applyBorder="1"/>
    <xf numFmtId="165" fontId="0" fillId="0" borderId="0" xfId="0" applyNumberFormat="1"/>
    <xf numFmtId="165" fontId="0" fillId="0" borderId="0" xfId="0" applyNumberFormat="1" applyFill="1"/>
    <xf numFmtId="165" fontId="2" fillId="0" borderId="0" xfId="0" applyNumberFormat="1" applyFont="1" applyAlignment="1">
      <alignment textRotation="90"/>
    </xf>
    <xf numFmtId="165" fontId="2" fillId="0" borderId="0" xfId="0" applyNumberFormat="1" applyFont="1" applyFill="1" applyAlignment="1">
      <alignment textRotation="90"/>
    </xf>
    <xf numFmtId="165" fontId="0" fillId="0" borderId="9" xfId="0" applyNumberFormat="1" applyBorder="1"/>
    <xf numFmtId="165" fontId="0" fillId="0" borderId="9" xfId="0" applyNumberFormat="1" applyFill="1" applyBorder="1"/>
    <xf numFmtId="165" fontId="0" fillId="0" borderId="10" xfId="0" applyNumberFormat="1" applyFill="1" applyBorder="1"/>
    <xf numFmtId="165" fontId="0" fillId="0" borderId="0" xfId="0" applyNumberFormat="1" applyBorder="1"/>
    <xf numFmtId="165" fontId="0" fillId="0" borderId="11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1" fillId="0" borderId="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0" fillId="0" borderId="12" xfId="0" applyNumberFormat="1" applyBorder="1"/>
    <xf numFmtId="165" fontId="0" fillId="0" borderId="13" xfId="0" applyNumberFormat="1" applyBorder="1"/>
    <xf numFmtId="165" fontId="2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/>
    <xf numFmtId="165" fontId="0" fillId="0" borderId="0" xfId="0" applyNumberFormat="1" applyFill="1" applyBorder="1"/>
    <xf numFmtId="165" fontId="1" fillId="0" borderId="0" xfId="0" applyNumberFormat="1" applyFont="1" applyFill="1" applyBorder="1"/>
    <xf numFmtId="165" fontId="7" fillId="0" borderId="0" xfId="0" applyNumberFormat="1" applyFont="1" applyFill="1" applyBorder="1"/>
    <xf numFmtId="165" fontId="3" fillId="0" borderId="0" xfId="0" applyNumberFormat="1" applyFont="1" applyFill="1" applyBorder="1"/>
    <xf numFmtId="165" fontId="8" fillId="0" borderId="0" xfId="0" applyNumberFormat="1" applyFont="1" applyFill="1" applyBorder="1"/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 indent="2"/>
    </xf>
    <xf numFmtId="164" fontId="0" fillId="0" borderId="11" xfId="0" applyNumberFormat="1" applyBorder="1" applyAlignment="1">
      <alignment horizontal="left" indent="2"/>
    </xf>
    <xf numFmtId="165" fontId="0" fillId="0" borderId="0" xfId="0" applyNumberFormat="1" applyBorder="1" applyAlignment="1">
      <alignment horizontal="left" indent="2"/>
    </xf>
    <xf numFmtId="165" fontId="0" fillId="0" borderId="11" xfId="0" applyNumberFormat="1" applyBorder="1" applyAlignment="1">
      <alignment horizontal="left" indent="2"/>
    </xf>
    <xf numFmtId="3" fontId="0" fillId="0" borderId="0" xfId="0" applyNumberFormat="1" applyAlignment="1">
      <alignment horizontal="left" indent="2"/>
    </xf>
    <xf numFmtId="0" fontId="1" fillId="0" borderId="15" xfId="0" applyFont="1" applyBorder="1" applyAlignment="1">
      <alignment horizontal="left" indent="2"/>
    </xf>
    <xf numFmtId="1" fontId="3" fillId="0" borderId="11" xfId="0" applyNumberFormat="1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3" fillId="0" borderId="0" xfId="0" applyFont="1" applyAlignment="1">
      <alignment horizontal="left" indent="3"/>
    </xf>
    <xf numFmtId="165" fontId="3" fillId="0" borderId="0" xfId="0" applyNumberFormat="1" applyFont="1" applyBorder="1"/>
    <xf numFmtId="0" fontId="15" fillId="0" borderId="0" xfId="0" applyFont="1" applyAlignment="1">
      <alignment horizontal="right"/>
    </xf>
    <xf numFmtId="164" fontId="15" fillId="0" borderId="0" xfId="0" applyNumberFormat="1" applyFont="1"/>
    <xf numFmtId="0" fontId="15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0" fontId="3" fillId="0" borderId="9" xfId="0" applyFont="1" applyBorder="1"/>
    <xf numFmtId="0" fontId="2" fillId="0" borderId="12" xfId="0" applyFont="1" applyBorder="1" applyAlignment="1">
      <alignment horizontal="center" textRotation="90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6" fontId="14" fillId="0" borderId="5" xfId="0" applyNumberFormat="1" applyFont="1" applyBorder="1" applyAlignment="1">
      <alignment horizontal="center"/>
    </xf>
    <xf numFmtId="0" fontId="0" fillId="0" borderId="38" xfId="0" applyBorder="1" applyAlignment="1">
      <alignment horizontal="right"/>
    </xf>
    <xf numFmtId="164" fontId="0" fillId="0" borderId="4" xfId="0" applyNumberForma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6" fontId="17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0" fillId="0" borderId="0" xfId="0" applyNumberFormat="1" applyAlignment="1">
      <alignment horizontal="right"/>
    </xf>
    <xf numFmtId="0" fontId="18" fillId="0" borderId="0" xfId="0" applyFont="1" applyAlignment="1">
      <alignment horizontal="right"/>
    </xf>
    <xf numFmtId="167" fontId="0" fillId="0" borderId="0" xfId="0" applyNumberFormat="1"/>
    <xf numFmtId="167" fontId="18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20" xfId="0" applyNumberFormat="1" applyBorder="1"/>
    <xf numFmtId="1" fontId="0" fillId="0" borderId="8" xfId="0" applyNumberFormat="1" applyBorder="1"/>
    <xf numFmtId="1" fontId="0" fillId="0" borderId="21" xfId="0" applyNumberFormat="1" applyBorder="1"/>
    <xf numFmtId="1" fontId="19" fillId="0" borderId="20" xfId="0" applyNumberFormat="1" applyFont="1" applyBorder="1"/>
    <xf numFmtId="1" fontId="19" fillId="0" borderId="8" xfId="0" applyNumberFormat="1" applyFont="1" applyBorder="1"/>
    <xf numFmtId="1" fontId="19" fillId="0" borderId="21" xfId="0" applyNumberFormat="1" applyFont="1" applyBorder="1"/>
    <xf numFmtId="3" fontId="19" fillId="0" borderId="8" xfId="0" applyNumberFormat="1" applyFont="1" applyBorder="1"/>
    <xf numFmtId="164" fontId="0" fillId="0" borderId="0" xfId="0" applyNumberFormat="1" applyAlignmen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textRotation="180"/>
    </xf>
    <xf numFmtId="1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8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8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0" fontId="21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9" fontId="0" fillId="0" borderId="0" xfId="0" applyNumberFormat="1" applyAlignment="1"/>
    <xf numFmtId="1" fontId="0" fillId="0" borderId="0" xfId="0" applyNumberFormat="1" applyAlignment="1"/>
    <xf numFmtId="165" fontId="0" fillId="0" borderId="0" xfId="0" applyNumberFormat="1" applyAlignment="1"/>
    <xf numFmtId="168" fontId="0" fillId="0" borderId="0" xfId="0" applyNumberFormat="1" applyAlignment="1"/>
    <xf numFmtId="166" fontId="0" fillId="0" borderId="0" xfId="0" applyNumberFormat="1" applyAlignment="1"/>
    <xf numFmtId="2" fontId="0" fillId="0" borderId="0" xfId="0" applyNumberFormat="1" applyAlignment="1"/>
    <xf numFmtId="0" fontId="0" fillId="0" borderId="0" xfId="0" applyFont="1" applyAlignment="1"/>
    <xf numFmtId="2" fontId="0" fillId="0" borderId="0" xfId="0" applyNumberFormat="1"/>
    <xf numFmtId="166" fontId="0" fillId="0" borderId="0" xfId="0" applyNumberFormat="1"/>
    <xf numFmtId="168" fontId="3" fillId="0" borderId="0" xfId="0" applyNumberFormat="1" applyFont="1"/>
    <xf numFmtId="2" fontId="3" fillId="0" borderId="0" xfId="0" applyNumberFormat="1" applyFont="1"/>
    <xf numFmtId="168" fontId="0" fillId="0" borderId="0" xfId="0" applyNumberFormat="1"/>
    <xf numFmtId="2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left"/>
    </xf>
    <xf numFmtId="0" fontId="18" fillId="0" borderId="0" xfId="0" applyFont="1"/>
    <xf numFmtId="165" fontId="18" fillId="0" borderId="0" xfId="0" applyNumberFormat="1" applyFont="1" applyBorder="1"/>
    <xf numFmtId="0" fontId="18" fillId="0" borderId="0" xfId="0" applyFont="1" applyAlignment="1">
      <alignment horizontal="left" indent="2"/>
    </xf>
    <xf numFmtId="164" fontId="18" fillId="0" borderId="0" xfId="0" applyNumberFormat="1" applyFont="1"/>
    <xf numFmtId="164" fontId="18" fillId="0" borderId="11" xfId="0" applyNumberFormat="1" applyFont="1" applyBorder="1"/>
    <xf numFmtId="165" fontId="18" fillId="0" borderId="11" xfId="0" applyNumberFormat="1" applyFont="1" applyBorder="1"/>
    <xf numFmtId="3" fontId="18" fillId="0" borderId="0" xfId="0" applyNumberFormat="1" applyFont="1"/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" fontId="18" fillId="0" borderId="11" xfId="0" applyNumberFormat="1" applyFont="1" applyBorder="1" applyAlignment="1">
      <alignment horizontal="right"/>
    </xf>
    <xf numFmtId="0" fontId="18" fillId="0" borderId="0" xfId="0" applyFont="1" applyBorder="1"/>
    <xf numFmtId="164" fontId="18" fillId="0" borderId="0" xfId="0" applyNumberFormat="1" applyFont="1" applyBorder="1"/>
    <xf numFmtId="0" fontId="18" fillId="0" borderId="11" xfId="0" applyFont="1" applyBorder="1"/>
    <xf numFmtId="0" fontId="18" fillId="0" borderId="15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2" fillId="0" borderId="0" xfId="0" applyFont="1" applyAlignment="1">
      <alignment horizontal="left" indent="1"/>
    </xf>
    <xf numFmtId="164" fontId="22" fillId="0" borderId="0" xfId="0" applyNumberFormat="1" applyFont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5" fontId="22" fillId="0" borderId="0" xfId="0" applyNumberFormat="1" applyFont="1" applyBorder="1" applyAlignment="1">
      <alignment horizontal="right"/>
    </xf>
    <xf numFmtId="165" fontId="22" fillId="0" borderId="11" xfId="0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164" fontId="23" fillId="0" borderId="0" xfId="0" applyNumberFormat="1" applyFont="1"/>
    <xf numFmtId="0" fontId="23" fillId="0" borderId="0" xfId="0" applyFont="1"/>
    <xf numFmtId="0" fontId="18" fillId="0" borderId="0" xfId="0" applyNumberFormat="1" applyFont="1" applyBorder="1" applyAlignment="1">
      <alignment horizontal="right"/>
    </xf>
    <xf numFmtId="1" fontId="19" fillId="0" borderId="2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3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6" xfId="0" applyFont="1" applyBorder="1" applyAlignment="1"/>
    <xf numFmtId="0" fontId="12" fillId="0" borderId="3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66" fontId="12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0" fillId="0" borderId="0" xfId="0" applyFont="1" applyAlignment="1"/>
    <xf numFmtId="0" fontId="0" fillId="0" borderId="0" xfId="0" applyAlignment="1"/>
    <xf numFmtId="0" fontId="3" fillId="0" borderId="0" xfId="0" applyFont="1" applyAlignment="1"/>
  </cellXfs>
  <cellStyles count="1">
    <cellStyle name="Normal" xfId="0" builtinId="0"/>
  </cellStyles>
  <dxfs count="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S48"/>
  <sheetViews>
    <sheetView workbookViewId="0">
      <selection activeCell="G51" sqref="G51"/>
    </sheetView>
  </sheetViews>
  <sheetFormatPr defaultRowHeight="12.75"/>
  <cols>
    <col min="2" max="2" width="8.85546875" style="13"/>
    <col min="3" max="3" width="11.5703125" bestFit="1" customWidth="1"/>
    <col min="4" max="4" width="9.42578125" bestFit="1" customWidth="1"/>
    <col min="5" max="5" width="7.5703125" bestFit="1" customWidth="1"/>
    <col min="6" max="6" width="12.85546875" bestFit="1" customWidth="1"/>
    <col min="7" max="7" width="7.85546875" bestFit="1" customWidth="1"/>
    <col min="8" max="8" width="10.5703125" style="41" bestFit="1" customWidth="1"/>
    <col min="9" max="9" width="8.5703125" bestFit="1" customWidth="1"/>
    <col min="12" max="12" width="9.7109375" style="13" customWidth="1"/>
    <col min="13" max="13" width="11.42578125" bestFit="1" customWidth="1"/>
    <col min="14" max="14" width="9.28515625" bestFit="1" customWidth="1"/>
    <col min="15" max="15" width="7.5703125" bestFit="1" customWidth="1"/>
    <col min="16" max="16" width="12.7109375" bestFit="1" customWidth="1"/>
    <col min="17" max="17" width="7.7109375" bestFit="1" customWidth="1"/>
    <col min="18" max="18" width="11.28515625" style="41" bestFit="1" customWidth="1"/>
    <col min="19" max="19" width="8.5703125" bestFit="1" customWidth="1"/>
  </cols>
  <sheetData>
    <row r="4" spans="2:19" ht="13.5" thickBot="1"/>
    <row r="5" spans="2:19" ht="15.75" thickTop="1">
      <c r="B5" s="198"/>
      <c r="C5" s="270" t="str">
        <f>'Pre- and Production'!Z160</f>
        <v>BASE</v>
      </c>
      <c r="D5" s="271"/>
      <c r="E5" s="271"/>
      <c r="F5" s="271"/>
      <c r="G5" s="271"/>
      <c r="H5" s="271"/>
      <c r="I5" s="272"/>
      <c r="J5" s="197"/>
      <c r="K5" s="197"/>
      <c r="L5" s="198"/>
      <c r="M5" s="270" t="str">
        <f>'Pre- and Production'!AJ160</f>
        <v>CONTINGENCY</v>
      </c>
      <c r="N5" s="271"/>
      <c r="O5" s="271"/>
      <c r="P5" s="271"/>
      <c r="Q5" s="271"/>
      <c r="R5" s="271"/>
      <c r="S5" s="272"/>
    </row>
    <row r="6" spans="2:19" ht="15">
      <c r="B6" s="198" t="str">
        <f>'Pre- and Production'!Y161</f>
        <v>Year</v>
      </c>
      <c r="C6" s="202" t="str">
        <f>'Pre- and Production'!Z161</f>
        <v>Shop Time</v>
      </c>
      <c r="D6" s="203" t="str">
        <f>'Pre- and Production'!AA161</f>
        <v>MT Time</v>
      </c>
      <c r="E6" s="203" t="str">
        <f>'Pre- and Production'!AB161</f>
        <v>CMM</v>
      </c>
      <c r="F6" s="203" t="str">
        <f>'Pre- and Production'!AC161</f>
        <v>Engineering</v>
      </c>
      <c r="G6" s="203" t="str">
        <f>'Pre- and Production'!AD161</f>
        <v>Design</v>
      </c>
      <c r="H6" s="205" t="str">
        <f>'Pre- and Production'!AE161</f>
        <v>M&amp;S Cost</v>
      </c>
      <c r="I6" s="204"/>
      <c r="J6" s="197"/>
      <c r="K6" s="197"/>
      <c r="L6" s="198"/>
      <c r="M6" s="202" t="str">
        <f>'Pre- and Production'!AJ161</f>
        <v>Shop Time</v>
      </c>
      <c r="N6" s="203" t="str">
        <f>'Pre- and Production'!AK161</f>
        <v>MT Time</v>
      </c>
      <c r="O6" s="203" t="str">
        <f>'Pre- and Production'!AL161</f>
        <v>CMM</v>
      </c>
      <c r="P6" s="203" t="str">
        <f>'Pre- and Production'!AM161</f>
        <v>Engineering</v>
      </c>
      <c r="Q6" s="203" t="str">
        <f>'Pre- and Production'!AN161</f>
        <v>Design</v>
      </c>
      <c r="R6" s="205" t="str">
        <f>'Pre- and Production'!AO161</f>
        <v>M&amp;S Cost</v>
      </c>
      <c r="S6" s="204"/>
    </row>
    <row r="7" spans="2:19">
      <c r="B7" s="198">
        <f>'Pre- and Production'!Y162</f>
        <v>2008</v>
      </c>
      <c r="C7" s="199">
        <f>'Pre- and Production'!Z162</f>
        <v>0</v>
      </c>
      <c r="D7" s="200">
        <f>'Pre- and Production'!AA162</f>
        <v>0</v>
      </c>
      <c r="E7" s="200">
        <f>'Pre- and Production'!AB162</f>
        <v>0</v>
      </c>
      <c r="F7" s="200">
        <f>'Pre- and Production'!AC162</f>
        <v>0</v>
      </c>
      <c r="G7" s="200">
        <f>'Pre- and Production'!AD162</f>
        <v>0</v>
      </c>
      <c r="H7" s="54">
        <f>'Pre- and Production'!AE162</f>
        <v>0</v>
      </c>
      <c r="I7" s="201"/>
      <c r="J7" s="197"/>
      <c r="K7" s="197"/>
      <c r="L7" s="198">
        <f>'Pre- and Production'!AI162</f>
        <v>2008</v>
      </c>
      <c r="M7" s="199">
        <f>'Pre- and Production'!AJ162</f>
        <v>0</v>
      </c>
      <c r="N7" s="200">
        <f>'Pre- and Production'!AK162</f>
        <v>0</v>
      </c>
      <c r="O7" s="200">
        <f>'Pre- and Production'!AL162</f>
        <v>0</v>
      </c>
      <c r="P7" s="200">
        <f>'Pre- and Production'!AM162</f>
        <v>0</v>
      </c>
      <c r="Q7" s="200">
        <f>'Pre- and Production'!AN162</f>
        <v>0</v>
      </c>
      <c r="R7" s="54">
        <f>'Pre- and Production'!AO162</f>
        <v>0</v>
      </c>
      <c r="S7" s="201"/>
    </row>
    <row r="8" spans="2:19">
      <c r="B8" s="198">
        <f>'Pre- and Production'!Y163</f>
        <v>2009</v>
      </c>
      <c r="C8" s="199">
        <f>'Pre- and Production'!Z163</f>
        <v>500</v>
      </c>
      <c r="D8" s="200">
        <f>'Pre- and Production'!AA163</f>
        <v>628</v>
      </c>
      <c r="E8" s="200">
        <f>'Pre- and Production'!AB163</f>
        <v>92</v>
      </c>
      <c r="F8" s="200">
        <f>'Pre- and Production'!AC163</f>
        <v>416</v>
      </c>
      <c r="G8" s="200">
        <f>'Pre- and Production'!AD163</f>
        <v>0</v>
      </c>
      <c r="H8" s="54">
        <f>'Pre- and Production'!AE163</f>
        <v>43492.5</v>
      </c>
      <c r="I8" s="201"/>
      <c r="J8" s="197"/>
      <c r="K8" s="197"/>
      <c r="L8" s="198">
        <f>'Pre- and Production'!AI163</f>
        <v>2009</v>
      </c>
      <c r="M8" s="199">
        <f>'Pre- and Production'!AJ163</f>
        <v>72</v>
      </c>
      <c r="N8" s="200">
        <f>'Pre- and Production'!AK163</f>
        <v>197</v>
      </c>
      <c r="O8" s="200">
        <f>'Pre- and Production'!AL163</f>
        <v>112</v>
      </c>
      <c r="P8" s="200">
        <f>'Pre- and Production'!AM163</f>
        <v>92</v>
      </c>
      <c r="Q8" s="200">
        <f>'Pre- and Production'!AN163</f>
        <v>0</v>
      </c>
      <c r="R8" s="54">
        <f>'Pre- and Production'!AO163</f>
        <v>2225</v>
      </c>
      <c r="S8" s="201"/>
    </row>
    <row r="9" spans="2:19">
      <c r="B9" s="198">
        <f>'Pre- and Production'!Y164</f>
        <v>2010</v>
      </c>
      <c r="C9" s="199">
        <f>'Pre- and Production'!Z164</f>
        <v>0</v>
      </c>
      <c r="D9" s="200">
        <f>'Pre- and Production'!AA164</f>
        <v>0</v>
      </c>
      <c r="E9" s="200">
        <f>'Pre- and Production'!AB164</f>
        <v>0</v>
      </c>
      <c r="F9" s="200">
        <f>'Pre- and Production'!AC164</f>
        <v>0</v>
      </c>
      <c r="G9" s="200">
        <f>'Pre- and Production'!AD164</f>
        <v>0</v>
      </c>
      <c r="H9" s="54">
        <f>'Pre- and Production'!AE164</f>
        <v>0</v>
      </c>
      <c r="I9" s="201"/>
      <c r="J9" s="197"/>
      <c r="K9" s="197"/>
      <c r="L9" s="198">
        <f>'Pre- and Production'!AI164</f>
        <v>2010</v>
      </c>
      <c r="M9" s="199">
        <f>'Pre- and Production'!AJ164</f>
        <v>0</v>
      </c>
      <c r="N9" s="200">
        <f>'Pre- and Production'!AK164</f>
        <v>0</v>
      </c>
      <c r="O9" s="200">
        <f>'Pre- and Production'!AL164</f>
        <v>0</v>
      </c>
      <c r="P9" s="200">
        <f>'Pre- and Production'!AM164</f>
        <v>0</v>
      </c>
      <c r="Q9" s="200">
        <f>'Pre- and Production'!AN164</f>
        <v>0</v>
      </c>
      <c r="R9" s="54">
        <f>'Pre- and Production'!AO164</f>
        <v>0</v>
      </c>
      <c r="S9" s="201"/>
    </row>
    <row r="10" spans="2:19">
      <c r="B10" s="198" t="str">
        <f>'Pre- and Production'!Y165</f>
        <v>Hytec</v>
      </c>
      <c r="C10" s="199">
        <f>'Pre- and Production'!Z165</f>
        <v>174</v>
      </c>
      <c r="D10" s="200">
        <f>'Pre- and Production'!AA165</f>
        <v>0</v>
      </c>
      <c r="E10" s="200">
        <f>'Pre- and Production'!AB165</f>
        <v>0</v>
      </c>
      <c r="F10" s="200">
        <f>'Pre- and Production'!AC165</f>
        <v>0</v>
      </c>
      <c r="G10" s="200">
        <f>'Pre- and Production'!AD165</f>
        <v>0</v>
      </c>
      <c r="H10" s="54">
        <f>'Pre- and Production'!AE165</f>
        <v>5550</v>
      </c>
      <c r="I10" s="201"/>
      <c r="J10" s="197"/>
      <c r="K10" s="197"/>
      <c r="L10" s="198" t="str">
        <f>'Pre- and Production'!AI165</f>
        <v>Hytec</v>
      </c>
      <c r="M10" s="199">
        <f>'Pre- and Production'!AJ165</f>
        <v>31.6</v>
      </c>
      <c r="N10" s="200">
        <f>'Pre- and Production'!AK165</f>
        <v>0</v>
      </c>
      <c r="O10" s="200">
        <f>'Pre- and Production'!AL165</f>
        <v>0</v>
      </c>
      <c r="P10" s="200">
        <f>'Pre- and Production'!AM165</f>
        <v>0</v>
      </c>
      <c r="Q10" s="200">
        <f>'Pre- and Production'!AN165</f>
        <v>0</v>
      </c>
      <c r="R10" s="54">
        <f>'Pre- and Production'!AO165</f>
        <v>804</v>
      </c>
      <c r="S10" s="201"/>
    </row>
    <row r="11" spans="2:19">
      <c r="B11" s="198" t="str">
        <f>'Pre- and Production'!Y166</f>
        <v>LANL</v>
      </c>
      <c r="C11" s="199">
        <f>'Pre- and Production'!Z166</f>
        <v>0</v>
      </c>
      <c r="D11" s="200">
        <f>'Pre- and Production'!AA166</f>
        <v>0</v>
      </c>
      <c r="E11" s="200">
        <f>'Pre- and Production'!AB166</f>
        <v>0</v>
      </c>
      <c r="F11" s="200">
        <f>'Pre- and Production'!AC166</f>
        <v>0</v>
      </c>
      <c r="G11" s="200">
        <f>'Pre- and Production'!AD166</f>
        <v>0</v>
      </c>
      <c r="H11" s="54">
        <f>'Pre- and Production'!AE166</f>
        <v>0</v>
      </c>
      <c r="I11" s="201"/>
      <c r="J11" s="197"/>
      <c r="K11" s="197"/>
      <c r="L11" s="198" t="str">
        <f>'Pre- and Production'!AI166</f>
        <v>LANL</v>
      </c>
      <c r="M11" s="199">
        <f>'Pre- and Production'!AJ166</f>
        <v>0</v>
      </c>
      <c r="N11" s="200">
        <f>'Pre- and Production'!AK166</f>
        <v>0</v>
      </c>
      <c r="O11" s="200">
        <f>'Pre- and Production'!AL166</f>
        <v>0</v>
      </c>
      <c r="P11" s="200">
        <f>'Pre- and Production'!AM166</f>
        <v>0</v>
      </c>
      <c r="Q11" s="200">
        <f>'Pre- and Production'!AN166</f>
        <v>0</v>
      </c>
      <c r="R11" s="54">
        <f>'Pre- and Production'!AO166</f>
        <v>0</v>
      </c>
      <c r="S11" s="201"/>
    </row>
    <row r="12" spans="2:19" ht="15">
      <c r="B12" s="198"/>
      <c r="C12" s="267" t="str">
        <f>'Pre- and Production'!Z167</f>
        <v>LBNL Cost</v>
      </c>
      <c r="D12" s="268"/>
      <c r="E12" s="268"/>
      <c r="F12" s="268"/>
      <c r="G12" s="268"/>
      <c r="H12" s="268"/>
      <c r="I12" s="269"/>
      <c r="J12" s="197"/>
      <c r="K12" s="197"/>
      <c r="L12" s="198"/>
      <c r="M12" s="267" t="str">
        <f>'Pre- and Production'!AJ167</f>
        <v>LBNL Contingency</v>
      </c>
      <c r="N12" s="268"/>
      <c r="O12" s="268"/>
      <c r="P12" s="268"/>
      <c r="Q12" s="268"/>
      <c r="R12" s="268"/>
      <c r="S12" s="269"/>
    </row>
    <row r="13" spans="2:19" ht="15">
      <c r="B13" s="198"/>
      <c r="C13" s="202" t="str">
        <f>'Pre- and Production'!Z168</f>
        <v>Shop Cost</v>
      </c>
      <c r="D13" s="203" t="str">
        <f>'Pre- and Production'!AA168</f>
        <v>MT Cost</v>
      </c>
      <c r="E13" s="203" t="str">
        <f>'Pre- and Production'!AB168</f>
        <v>CMM</v>
      </c>
      <c r="F13" s="203" t="str">
        <f>'Pre- and Production'!AC168</f>
        <v>Engineering</v>
      </c>
      <c r="G13" s="203" t="str">
        <f>'Pre- and Production'!AD168</f>
        <v>Design</v>
      </c>
      <c r="H13" s="205" t="str">
        <f>'Pre- and Production'!AE168</f>
        <v>M&amp;S Cost</v>
      </c>
      <c r="I13" s="204" t="str">
        <f>'Pre- and Production'!AF168</f>
        <v>Totals</v>
      </c>
      <c r="J13" s="197"/>
      <c r="K13" s="197"/>
      <c r="L13" s="198"/>
      <c r="M13" s="202" t="str">
        <f>'Pre- and Production'!AJ168</f>
        <v>Shop Cost</v>
      </c>
      <c r="N13" s="203" t="str">
        <f>'Pre- and Production'!AK168</f>
        <v>MT Cost</v>
      </c>
      <c r="O13" s="203" t="str">
        <f>'Pre- and Production'!AL168</f>
        <v>CMM</v>
      </c>
      <c r="P13" s="203" t="str">
        <f>'Pre- and Production'!AM168</f>
        <v>Engineering</v>
      </c>
      <c r="Q13" s="203" t="str">
        <f>'Pre- and Production'!AN168</f>
        <v>Design</v>
      </c>
      <c r="R13" s="205" t="str">
        <f>'Pre- and Production'!AO168</f>
        <v>M&amp;S Cost</v>
      </c>
      <c r="S13" s="204" t="str">
        <f>'Pre- and Production'!AP168</f>
        <v>Totals</v>
      </c>
    </row>
    <row r="14" spans="2:19">
      <c r="B14" s="198">
        <f>'Pre- and Production'!Y169</f>
        <v>2008</v>
      </c>
      <c r="C14" s="56">
        <f>'Pre- and Production'!Z169</f>
        <v>0</v>
      </c>
      <c r="D14" s="54">
        <f>'Pre- and Production'!AA169</f>
        <v>0</v>
      </c>
      <c r="E14" s="54">
        <f>'Pre- and Production'!AB169</f>
        <v>0</v>
      </c>
      <c r="F14" s="54">
        <f>'Pre- and Production'!AC169</f>
        <v>0</v>
      </c>
      <c r="G14" s="54">
        <f>'Pre- and Production'!AD169</f>
        <v>0</v>
      </c>
      <c r="H14" s="54">
        <f>'Pre- and Production'!AE169</f>
        <v>0</v>
      </c>
      <c r="I14" s="57">
        <f>'Pre- and Production'!AF169</f>
        <v>0</v>
      </c>
      <c r="J14" s="197"/>
      <c r="K14" s="197"/>
      <c r="L14" s="198">
        <f>'Pre- and Production'!AI169</f>
        <v>2008</v>
      </c>
      <c r="M14" s="56">
        <f>'Pre- and Production'!AJ169</f>
        <v>0</v>
      </c>
      <c r="N14" s="54">
        <f>'Pre- and Production'!AK169</f>
        <v>0</v>
      </c>
      <c r="O14" s="54">
        <f>'Pre- and Production'!AL169</f>
        <v>0</v>
      </c>
      <c r="P14" s="54">
        <f>'Pre- and Production'!AM169</f>
        <v>0</v>
      </c>
      <c r="Q14" s="54">
        <f>'Pre- and Production'!AN169</f>
        <v>0</v>
      </c>
      <c r="R14" s="54">
        <f>'Pre- and Production'!AO169</f>
        <v>0</v>
      </c>
      <c r="S14" s="57">
        <f>'Pre- and Production'!AP169</f>
        <v>0</v>
      </c>
    </row>
    <row r="15" spans="2:19">
      <c r="B15" s="198">
        <f>'Pre- and Production'!Y170</f>
        <v>2009</v>
      </c>
      <c r="C15" s="56">
        <f>'Pre- and Production'!Z170</f>
        <v>63500</v>
      </c>
      <c r="D15" s="54">
        <f>'Pre- and Production'!AA170</f>
        <v>73476</v>
      </c>
      <c r="E15" s="54">
        <f>'Pre- and Production'!AB170</f>
        <v>11684</v>
      </c>
      <c r="F15" s="54">
        <f>'Pre- and Production'!AC170</f>
        <v>62400</v>
      </c>
      <c r="G15" s="54">
        <f>'Pre- and Production'!AD170</f>
        <v>0</v>
      </c>
      <c r="H15" s="54">
        <f>'Pre- and Production'!AE170</f>
        <v>43492.5</v>
      </c>
      <c r="I15" s="57">
        <f>'Pre- and Production'!AF170</f>
        <v>254552.5</v>
      </c>
      <c r="J15" s="197"/>
      <c r="K15" s="197"/>
      <c r="L15" s="198">
        <f>'Pre- and Production'!AI170</f>
        <v>2009</v>
      </c>
      <c r="M15" s="56">
        <f>'Pre- and Production'!AJ170</f>
        <v>9144</v>
      </c>
      <c r="N15" s="54">
        <f>'Pre- and Production'!AK170</f>
        <v>23049</v>
      </c>
      <c r="O15" s="54">
        <f>'Pre- and Production'!AL170</f>
        <v>14224</v>
      </c>
      <c r="P15" s="54">
        <f>'Pre- and Production'!AM170</f>
        <v>13800</v>
      </c>
      <c r="Q15" s="54">
        <f>'Pre- and Production'!AN170</f>
        <v>0</v>
      </c>
      <c r="R15" s="54">
        <f>'Pre- and Production'!AO170</f>
        <v>2225</v>
      </c>
      <c r="S15" s="57">
        <f>'Pre- and Production'!AP170</f>
        <v>62442</v>
      </c>
    </row>
    <row r="16" spans="2:19" ht="13.5" thickBot="1">
      <c r="B16" s="198">
        <f>'Pre- and Production'!Y171</f>
        <v>2010</v>
      </c>
      <c r="C16" s="58">
        <f>'Pre- and Production'!Z171</f>
        <v>0</v>
      </c>
      <c r="D16" s="59">
        <f>'Pre- and Production'!AA171</f>
        <v>0</v>
      </c>
      <c r="E16" s="59">
        <f>'Pre- and Production'!AB171</f>
        <v>0</v>
      </c>
      <c r="F16" s="59">
        <f>'Pre- and Production'!AC171</f>
        <v>0</v>
      </c>
      <c r="G16" s="59">
        <f>'Pre- and Production'!AD171</f>
        <v>0</v>
      </c>
      <c r="H16" s="59">
        <f>'Pre- and Production'!AE171</f>
        <v>0</v>
      </c>
      <c r="I16" s="60">
        <f>'Pre- and Production'!AF171</f>
        <v>0</v>
      </c>
      <c r="J16" s="197"/>
      <c r="K16" s="197"/>
      <c r="L16" s="198">
        <f>'Pre- and Production'!AI171</f>
        <v>2010</v>
      </c>
      <c r="M16" s="58">
        <f>'Pre- and Production'!AJ171</f>
        <v>0</v>
      </c>
      <c r="N16" s="59">
        <f>'Pre- and Production'!AK171</f>
        <v>0</v>
      </c>
      <c r="O16" s="59">
        <f>'Pre- and Production'!AL171</f>
        <v>0</v>
      </c>
      <c r="P16" s="59">
        <f>'Pre- and Production'!AM171</f>
        <v>0</v>
      </c>
      <c r="Q16" s="59">
        <f>'Pre- and Production'!AN171</f>
        <v>0</v>
      </c>
      <c r="R16" s="59">
        <f>'Pre- and Production'!AO171</f>
        <v>0</v>
      </c>
      <c r="S16" s="60">
        <f>'Pre- and Production'!AP171</f>
        <v>0</v>
      </c>
    </row>
    <row r="17" spans="2:19" ht="13.5" thickTop="1">
      <c r="B17" s="198"/>
      <c r="C17" s="197"/>
      <c r="D17" s="197"/>
      <c r="E17" s="197"/>
      <c r="F17" s="197"/>
      <c r="G17" s="197"/>
      <c r="H17" s="41" t="str">
        <f>'Pre- and Production'!AE172</f>
        <v>Base Cost</v>
      </c>
      <c r="I17" s="31">
        <f>'Pre- and Production'!AF172</f>
        <v>254552.5</v>
      </c>
      <c r="J17" s="197"/>
      <c r="K17" s="197"/>
      <c r="L17" s="198"/>
      <c r="M17" s="197"/>
      <c r="N17" s="197"/>
      <c r="O17" s="197"/>
      <c r="P17" s="197"/>
      <c r="Q17" s="197"/>
      <c r="R17" s="41" t="str">
        <f>'Pre- and Production'!AO172</f>
        <v>Contingency</v>
      </c>
      <c r="S17" s="31">
        <f>'Pre- and Production'!AP172</f>
        <v>62442</v>
      </c>
    </row>
    <row r="18" spans="2:19">
      <c r="B18" s="198"/>
      <c r="C18" s="197"/>
      <c r="D18" s="197"/>
      <c r="E18" s="197"/>
      <c r="F18" s="197"/>
      <c r="G18" s="197"/>
      <c r="I18" s="197"/>
      <c r="J18" s="197"/>
      <c r="K18" s="197"/>
      <c r="L18" s="198"/>
      <c r="M18" s="197"/>
      <c r="N18" s="197"/>
      <c r="O18" s="197"/>
      <c r="P18" s="197"/>
      <c r="Q18" s="197"/>
      <c r="R18" s="41" t="str">
        <f>'Pre- and Production'!AO173</f>
        <v>Percent</v>
      </c>
      <c r="S18" s="195">
        <f>'Pre- and Production'!AP173</f>
        <v>0.24530106755973718</v>
      </c>
    </row>
    <row r="19" spans="2:19" ht="13.5" thickBot="1">
      <c r="B19" s="198"/>
      <c r="C19" s="197"/>
      <c r="D19" s="197"/>
      <c r="E19" s="197"/>
      <c r="F19" s="197"/>
      <c r="G19" s="197"/>
      <c r="I19" s="197"/>
      <c r="J19" s="197"/>
      <c r="K19" s="197"/>
      <c r="L19" s="198"/>
      <c r="M19" s="197"/>
      <c r="N19" s="197"/>
      <c r="O19" s="197"/>
      <c r="P19" s="197"/>
      <c r="Q19" s="197"/>
      <c r="S19" s="197"/>
    </row>
    <row r="20" spans="2:19" ht="15.75" thickTop="1">
      <c r="B20" s="198"/>
      <c r="C20" s="270" t="str">
        <f>'Pre- and Production'!Z175</f>
        <v>Pre-Production Base Cost</v>
      </c>
      <c r="D20" s="271"/>
      <c r="E20" s="271"/>
      <c r="F20" s="271"/>
      <c r="G20" s="271"/>
      <c r="H20" s="271"/>
      <c r="I20" s="272"/>
      <c r="J20" s="197"/>
      <c r="K20" s="197"/>
      <c r="L20" s="198"/>
      <c r="M20" s="270" t="str">
        <f>'Pre- and Production'!AJ175</f>
        <v>Pre-Production Contingency Cost</v>
      </c>
      <c r="N20" s="271"/>
      <c r="O20" s="271"/>
      <c r="P20" s="271"/>
      <c r="Q20" s="271"/>
      <c r="R20" s="271"/>
      <c r="S20" s="272"/>
    </row>
    <row r="21" spans="2:19" ht="15">
      <c r="B21" s="198"/>
      <c r="C21" s="202" t="str">
        <f>'Pre- and Production'!Z176</f>
        <v>Shop Time</v>
      </c>
      <c r="D21" s="203" t="str">
        <f>'Pre- and Production'!AA176</f>
        <v>MT Time</v>
      </c>
      <c r="E21" s="203" t="str">
        <f>'Pre- and Production'!AB176</f>
        <v>CMM</v>
      </c>
      <c r="F21" s="203" t="str">
        <f>'Pre- and Production'!AC176</f>
        <v>Engineering</v>
      </c>
      <c r="G21" s="203" t="str">
        <f>'Pre- and Production'!AD176</f>
        <v>Design</v>
      </c>
      <c r="H21" s="205" t="str">
        <f>'Pre- and Production'!AE176</f>
        <v>M&amp;S Cost</v>
      </c>
      <c r="I21" s="204"/>
      <c r="J21" s="197"/>
      <c r="K21" s="197"/>
      <c r="L21" s="198"/>
      <c r="M21" s="202" t="str">
        <f>'Pre- and Production'!AJ176</f>
        <v>Shop Time</v>
      </c>
      <c r="N21" s="203" t="str">
        <f>'Pre- and Production'!AK176</f>
        <v>MT Time</v>
      </c>
      <c r="O21" s="203" t="str">
        <f>'Pre- and Production'!AL176</f>
        <v>CMM</v>
      </c>
      <c r="P21" s="203" t="str">
        <f>'Pre- and Production'!AM176</f>
        <v>Engineering</v>
      </c>
      <c r="Q21" s="203" t="str">
        <f>'Pre- and Production'!AN176</f>
        <v>Design</v>
      </c>
      <c r="R21" s="205" t="str">
        <f>'Pre- and Production'!AO176</f>
        <v>M&amp;S Cost</v>
      </c>
      <c r="S21" s="204"/>
    </row>
    <row r="22" spans="2:19">
      <c r="B22" s="198">
        <f>'Pre- and Production'!Y177</f>
        <v>2008</v>
      </c>
      <c r="C22" s="199">
        <f>'Pre- and Production'!Z177</f>
        <v>0</v>
      </c>
      <c r="D22" s="200">
        <f>'Pre- and Production'!AA177</f>
        <v>0</v>
      </c>
      <c r="E22" s="200">
        <f>'Pre- and Production'!AB177</f>
        <v>0</v>
      </c>
      <c r="F22" s="200">
        <f>'Pre- and Production'!AC177</f>
        <v>0</v>
      </c>
      <c r="G22" s="200">
        <f>'Pre- and Production'!AD177</f>
        <v>0</v>
      </c>
      <c r="H22" s="54">
        <f>'Pre- and Production'!AE177</f>
        <v>0</v>
      </c>
      <c r="I22" s="201"/>
      <c r="J22" s="197"/>
      <c r="K22" s="197"/>
      <c r="L22" s="198">
        <f>'Pre- and Production'!AI177</f>
        <v>2008</v>
      </c>
      <c r="M22" s="199">
        <f>'Pre- and Production'!AJ177</f>
        <v>0</v>
      </c>
      <c r="N22" s="200">
        <f>'Pre- and Production'!AK177</f>
        <v>0</v>
      </c>
      <c r="O22" s="200">
        <f>'Pre- and Production'!AL177</f>
        <v>0</v>
      </c>
      <c r="P22" s="200">
        <f>'Pre- and Production'!AM177</f>
        <v>0</v>
      </c>
      <c r="Q22" s="200">
        <f>'Pre- and Production'!AN177</f>
        <v>0</v>
      </c>
      <c r="R22" s="54">
        <f>'Pre- and Production'!AO177</f>
        <v>0</v>
      </c>
      <c r="S22" s="201"/>
    </row>
    <row r="23" spans="2:19">
      <c r="B23" s="198">
        <f>'Pre- and Production'!Y178</f>
        <v>2009</v>
      </c>
      <c r="C23" s="199">
        <f>'Pre- and Production'!Z178</f>
        <v>0</v>
      </c>
      <c r="D23" s="200">
        <f>'Pre- and Production'!AA178</f>
        <v>0</v>
      </c>
      <c r="E23" s="200">
        <f>'Pre- and Production'!AB178</f>
        <v>0</v>
      </c>
      <c r="F23" s="200">
        <f>'Pre- and Production'!AC178</f>
        <v>0</v>
      </c>
      <c r="G23" s="200">
        <f>'Pre- and Production'!AD178</f>
        <v>0</v>
      </c>
      <c r="H23" s="54">
        <f>'Pre- and Production'!AE178</f>
        <v>0</v>
      </c>
      <c r="I23" s="201"/>
      <c r="J23" s="197"/>
      <c r="K23" s="197"/>
      <c r="L23" s="198">
        <f>'Pre- and Production'!AI178</f>
        <v>2009</v>
      </c>
      <c r="M23" s="199">
        <f>'Pre- and Production'!AJ178</f>
        <v>0</v>
      </c>
      <c r="N23" s="200">
        <f>'Pre- and Production'!AK178</f>
        <v>0</v>
      </c>
      <c r="O23" s="200">
        <f>'Pre- and Production'!AL178</f>
        <v>0</v>
      </c>
      <c r="P23" s="200">
        <f>'Pre- and Production'!AM178</f>
        <v>0</v>
      </c>
      <c r="Q23" s="200">
        <f>'Pre- and Production'!AN178</f>
        <v>0</v>
      </c>
      <c r="R23" s="54">
        <f>'Pre- and Production'!AO178</f>
        <v>0</v>
      </c>
      <c r="S23" s="201"/>
    </row>
    <row r="24" spans="2:19">
      <c r="B24" s="198">
        <f>'Pre- and Production'!Y179</f>
        <v>2010</v>
      </c>
      <c r="C24" s="199">
        <f>'Pre- and Production'!Z179</f>
        <v>0</v>
      </c>
      <c r="D24" s="200">
        <f>'Pre- and Production'!AA179</f>
        <v>0</v>
      </c>
      <c r="E24" s="200">
        <f>'Pre- and Production'!AB179</f>
        <v>0</v>
      </c>
      <c r="F24" s="200">
        <f>'Pre- and Production'!AC179</f>
        <v>0</v>
      </c>
      <c r="G24" s="200">
        <f>'Pre- and Production'!AD179</f>
        <v>0</v>
      </c>
      <c r="H24" s="54">
        <f>'Pre- and Production'!AE179</f>
        <v>0</v>
      </c>
      <c r="I24" s="201"/>
      <c r="J24" s="197"/>
      <c r="K24" s="197"/>
      <c r="L24" s="198">
        <f>'Pre- and Production'!AI179</f>
        <v>2010</v>
      </c>
      <c r="M24" s="199">
        <f>'Pre- and Production'!AJ179</f>
        <v>0</v>
      </c>
      <c r="N24" s="200">
        <f>'Pre- and Production'!AK179</f>
        <v>0</v>
      </c>
      <c r="O24" s="200">
        <f>'Pre- and Production'!AL179</f>
        <v>0</v>
      </c>
      <c r="P24" s="200">
        <f>'Pre- and Production'!AM179</f>
        <v>0</v>
      </c>
      <c r="Q24" s="200">
        <f>'Pre- and Production'!AN179</f>
        <v>0</v>
      </c>
      <c r="R24" s="54">
        <f>'Pre- and Production'!AO179</f>
        <v>0</v>
      </c>
      <c r="S24" s="201"/>
    </row>
    <row r="25" spans="2:19">
      <c r="B25" s="198" t="str">
        <f>'Pre- and Production'!Y180</f>
        <v>Hytec</v>
      </c>
      <c r="C25" s="199">
        <f>'Pre- and Production'!Z180</f>
        <v>0</v>
      </c>
      <c r="D25" s="200">
        <f>'Pre- and Production'!AA180</f>
        <v>0</v>
      </c>
      <c r="E25" s="200">
        <f>'Pre- and Production'!AB180</f>
        <v>0</v>
      </c>
      <c r="F25" s="200">
        <f>'Pre- and Production'!AC180</f>
        <v>0</v>
      </c>
      <c r="G25" s="200">
        <f>'Pre- and Production'!AD180</f>
        <v>0</v>
      </c>
      <c r="H25" s="54">
        <f>'Pre- and Production'!AE180</f>
        <v>0</v>
      </c>
      <c r="I25" s="201"/>
      <c r="J25" s="197"/>
      <c r="K25" s="197"/>
      <c r="L25" s="198" t="str">
        <f>'Pre- and Production'!AI180</f>
        <v>Hytec</v>
      </c>
      <c r="M25" s="199">
        <f>'Pre- and Production'!AJ180</f>
        <v>0</v>
      </c>
      <c r="N25" s="200">
        <f>'Pre- and Production'!AK180</f>
        <v>0</v>
      </c>
      <c r="O25" s="200">
        <f>'Pre- and Production'!AL180</f>
        <v>0</v>
      </c>
      <c r="P25" s="200">
        <f>'Pre- and Production'!AM180</f>
        <v>0</v>
      </c>
      <c r="Q25" s="200">
        <f>'Pre- and Production'!AN180</f>
        <v>0</v>
      </c>
      <c r="R25" s="54">
        <f>'Pre- and Production'!AO180</f>
        <v>0</v>
      </c>
      <c r="S25" s="201"/>
    </row>
    <row r="26" spans="2:19">
      <c r="B26" s="198" t="str">
        <f>'Pre- and Production'!Y181</f>
        <v>LANL</v>
      </c>
      <c r="C26" s="199">
        <f>'Pre- and Production'!Z181</f>
        <v>0</v>
      </c>
      <c r="D26" s="200">
        <f>'Pre- and Production'!AA181</f>
        <v>0</v>
      </c>
      <c r="E26" s="200">
        <f>'Pre- and Production'!AB181</f>
        <v>0</v>
      </c>
      <c r="F26" s="200">
        <f>'Pre- and Production'!AC181</f>
        <v>0</v>
      </c>
      <c r="G26" s="200">
        <f>'Pre- and Production'!AD181</f>
        <v>0</v>
      </c>
      <c r="H26" s="54">
        <f>'Pre- and Production'!AE181</f>
        <v>0</v>
      </c>
      <c r="I26" s="201"/>
      <c r="J26" s="197"/>
      <c r="K26" s="197"/>
      <c r="L26" s="198" t="str">
        <f>'Pre- and Production'!AI181</f>
        <v>LANL</v>
      </c>
      <c r="M26" s="199">
        <f>'Pre- and Production'!AJ181</f>
        <v>0</v>
      </c>
      <c r="N26" s="200">
        <f>'Pre- and Production'!AK181</f>
        <v>0</v>
      </c>
      <c r="O26" s="200">
        <f>'Pre- and Production'!AL181</f>
        <v>0</v>
      </c>
      <c r="P26" s="200">
        <f>'Pre- and Production'!AM181</f>
        <v>0</v>
      </c>
      <c r="Q26" s="200">
        <f>'Pre- and Production'!AN181</f>
        <v>0</v>
      </c>
      <c r="R26" s="54">
        <f>'Pre- and Production'!AO181</f>
        <v>0</v>
      </c>
      <c r="S26" s="201"/>
    </row>
    <row r="27" spans="2:19" ht="15">
      <c r="B27" s="198"/>
      <c r="C27" s="267" t="str">
        <f>'Pre- and Production'!Z182</f>
        <v>LBNL Cost</v>
      </c>
      <c r="D27" s="268"/>
      <c r="E27" s="268"/>
      <c r="F27" s="268"/>
      <c r="G27" s="268"/>
      <c r="H27" s="268"/>
      <c r="I27" s="269"/>
      <c r="J27" s="197"/>
      <c r="K27" s="197"/>
      <c r="L27" s="198"/>
      <c r="M27" s="267" t="str">
        <f>'Pre- and Production'!AJ182</f>
        <v>LBNL Cost</v>
      </c>
      <c r="N27" s="268"/>
      <c r="O27" s="268"/>
      <c r="P27" s="268"/>
      <c r="Q27" s="268"/>
      <c r="R27" s="268"/>
      <c r="S27" s="269"/>
    </row>
    <row r="28" spans="2:19" ht="15">
      <c r="B28" s="198"/>
      <c r="C28" s="202" t="str">
        <f>'Pre- and Production'!Z183</f>
        <v>Shop Cost</v>
      </c>
      <c r="D28" s="203" t="str">
        <f>'Pre- and Production'!AA183</f>
        <v>MT Cost</v>
      </c>
      <c r="E28" s="203" t="str">
        <f>'Pre- and Production'!AB183</f>
        <v>CMM</v>
      </c>
      <c r="F28" s="203" t="str">
        <f>'Pre- and Production'!AC183</f>
        <v>Engineering</v>
      </c>
      <c r="G28" s="203" t="str">
        <f>'Pre- and Production'!AD183</f>
        <v>Design</v>
      </c>
      <c r="H28" s="205" t="str">
        <f>'Pre- and Production'!AE183</f>
        <v>M&amp;S Cost</v>
      </c>
      <c r="I28" s="204" t="str">
        <f>'Pre- and Production'!AF183</f>
        <v>Totals</v>
      </c>
      <c r="J28" s="197"/>
      <c r="K28" s="197"/>
      <c r="L28" s="198"/>
      <c r="M28" s="202" t="str">
        <f>'Pre- and Production'!AJ183</f>
        <v>Shop Cost</v>
      </c>
      <c r="N28" s="203" t="str">
        <f>'Pre- and Production'!AK183</f>
        <v>MT Cost</v>
      </c>
      <c r="O28" s="203" t="str">
        <f>'Pre- and Production'!AL183</f>
        <v>CMM</v>
      </c>
      <c r="P28" s="203" t="str">
        <f>'Pre- and Production'!AM183</f>
        <v>Engineering</v>
      </c>
      <c r="Q28" s="203" t="str">
        <f>'Pre- and Production'!AN183</f>
        <v>Design</v>
      </c>
      <c r="R28" s="205" t="str">
        <f>'Pre- and Production'!AO183</f>
        <v>M&amp;S Cost</v>
      </c>
      <c r="S28" s="204" t="str">
        <f>'Pre- and Production'!AP183</f>
        <v>Totals</v>
      </c>
    </row>
    <row r="29" spans="2:19">
      <c r="B29" s="198">
        <f>'Pre- and Production'!Y184</f>
        <v>2008</v>
      </c>
      <c r="C29" s="56">
        <f>'Pre- and Production'!Z184</f>
        <v>0</v>
      </c>
      <c r="D29" s="54">
        <f>'Pre- and Production'!AA184</f>
        <v>0</v>
      </c>
      <c r="E29" s="54">
        <f>'Pre- and Production'!AB184</f>
        <v>0</v>
      </c>
      <c r="F29" s="54">
        <f>'Pre- and Production'!AC184</f>
        <v>0</v>
      </c>
      <c r="G29" s="54">
        <f>'Pre- and Production'!AD184</f>
        <v>0</v>
      </c>
      <c r="H29" s="54">
        <f>'Pre- and Production'!AE184</f>
        <v>0</v>
      </c>
      <c r="I29" s="57">
        <f>'Pre- and Production'!AF184</f>
        <v>0</v>
      </c>
      <c r="J29" s="197"/>
      <c r="K29" s="197"/>
      <c r="L29" s="198">
        <f>'Pre- and Production'!AI184</f>
        <v>2008</v>
      </c>
      <c r="M29" s="56">
        <f>'Pre- and Production'!AJ184</f>
        <v>0</v>
      </c>
      <c r="N29" s="54">
        <f>'Pre- and Production'!AK184</f>
        <v>0</v>
      </c>
      <c r="O29" s="54">
        <f>'Pre- and Production'!AL184</f>
        <v>0</v>
      </c>
      <c r="P29" s="54">
        <f>'Pre- and Production'!AM184</f>
        <v>0</v>
      </c>
      <c r="Q29" s="54">
        <f>'Pre- and Production'!AN184</f>
        <v>0</v>
      </c>
      <c r="R29" s="54">
        <f>'Pre- and Production'!AO184</f>
        <v>0</v>
      </c>
      <c r="S29" s="57">
        <f>'Pre- and Production'!AP184</f>
        <v>0</v>
      </c>
    </row>
    <row r="30" spans="2:19">
      <c r="B30" s="198">
        <f>'Pre- and Production'!Y185</f>
        <v>2009</v>
      </c>
      <c r="C30" s="56">
        <f>'Pre- and Production'!Z185</f>
        <v>0</v>
      </c>
      <c r="D30" s="54">
        <f>'Pre- and Production'!AA185</f>
        <v>0</v>
      </c>
      <c r="E30" s="54">
        <f>'Pre- and Production'!AB185</f>
        <v>0</v>
      </c>
      <c r="F30" s="54">
        <f>'Pre- and Production'!AC185</f>
        <v>0</v>
      </c>
      <c r="G30" s="54">
        <f>'Pre- and Production'!AD185</f>
        <v>0</v>
      </c>
      <c r="H30" s="54">
        <f>'Pre- and Production'!AE185</f>
        <v>0</v>
      </c>
      <c r="I30" s="57">
        <f>'Pre- and Production'!AF185</f>
        <v>0</v>
      </c>
      <c r="J30" s="197"/>
      <c r="K30" s="197"/>
      <c r="L30" s="198">
        <f>'Pre- and Production'!AI185</f>
        <v>2009</v>
      </c>
      <c r="M30" s="56">
        <f>'Pre- and Production'!AJ185</f>
        <v>0</v>
      </c>
      <c r="N30" s="54">
        <f>'Pre- and Production'!AK185</f>
        <v>0</v>
      </c>
      <c r="O30" s="54">
        <f>'Pre- and Production'!AL185</f>
        <v>0</v>
      </c>
      <c r="P30" s="54">
        <f>'Pre- and Production'!AM185</f>
        <v>0</v>
      </c>
      <c r="Q30" s="54">
        <f>'Pre- and Production'!AN185</f>
        <v>0</v>
      </c>
      <c r="R30" s="54">
        <f>'Pre- and Production'!AO185</f>
        <v>0</v>
      </c>
      <c r="S30" s="57">
        <f>'Pre- and Production'!AP185</f>
        <v>0</v>
      </c>
    </row>
    <row r="31" spans="2:19" ht="13.5" thickBot="1">
      <c r="B31" s="198">
        <f>'Pre- and Production'!Y186</f>
        <v>2010</v>
      </c>
      <c r="C31" s="58">
        <f>'Pre- and Production'!Z186</f>
        <v>0</v>
      </c>
      <c r="D31" s="59">
        <f>'Pre- and Production'!AA186</f>
        <v>0</v>
      </c>
      <c r="E31" s="59">
        <f>'Pre- and Production'!AB186</f>
        <v>0</v>
      </c>
      <c r="F31" s="59">
        <f>'Pre- and Production'!AC186</f>
        <v>0</v>
      </c>
      <c r="G31" s="59">
        <f>'Pre- and Production'!AD186</f>
        <v>0</v>
      </c>
      <c r="H31" s="59">
        <f>'Pre- and Production'!AE186</f>
        <v>0</v>
      </c>
      <c r="I31" s="60">
        <f>'Pre- and Production'!AF186</f>
        <v>0</v>
      </c>
      <c r="J31" s="197"/>
      <c r="K31" s="197"/>
      <c r="L31" s="198">
        <f>'Pre- and Production'!AI186</f>
        <v>2010</v>
      </c>
      <c r="M31" s="58">
        <f>'Pre- and Production'!AJ186</f>
        <v>0</v>
      </c>
      <c r="N31" s="59">
        <f>'Pre- and Production'!AK186</f>
        <v>0</v>
      </c>
      <c r="O31" s="59">
        <f>'Pre- and Production'!AL186</f>
        <v>0</v>
      </c>
      <c r="P31" s="59">
        <f>'Pre- and Production'!AM186</f>
        <v>0</v>
      </c>
      <c r="Q31" s="59">
        <f>'Pre- and Production'!AN186</f>
        <v>0</v>
      </c>
      <c r="R31" s="59">
        <f>'Pre- and Production'!AO186</f>
        <v>0</v>
      </c>
      <c r="S31" s="60">
        <f>'Pre- and Production'!AP186</f>
        <v>0</v>
      </c>
    </row>
    <row r="32" spans="2:19" ht="13.5" thickTop="1">
      <c r="B32" s="198"/>
      <c r="C32" s="197"/>
      <c r="D32" s="197"/>
      <c r="E32" s="197"/>
      <c r="F32" s="197"/>
      <c r="G32" s="197"/>
      <c r="H32" s="41" t="str">
        <f>'Pre- and Production'!AE187</f>
        <v>Base Cost</v>
      </c>
      <c r="I32" s="31">
        <f>'Pre- and Production'!AF187</f>
        <v>0</v>
      </c>
      <c r="J32" s="197"/>
      <c r="K32" s="197"/>
      <c r="L32" s="198"/>
      <c r="M32" s="197"/>
      <c r="N32" s="197"/>
      <c r="O32" s="197"/>
      <c r="P32" s="197"/>
      <c r="Q32" s="197"/>
      <c r="R32" s="41" t="str">
        <f>'Pre- and Production'!AO187</f>
        <v>Contingency</v>
      </c>
      <c r="S32" s="31">
        <f>'Pre- and Production'!AP187</f>
        <v>0</v>
      </c>
    </row>
    <row r="33" spans="2:19">
      <c r="B33" s="198"/>
      <c r="C33" s="197"/>
      <c r="D33" s="197"/>
      <c r="E33" s="197"/>
      <c r="F33" s="197"/>
      <c r="G33" s="197"/>
      <c r="I33" s="197"/>
      <c r="J33" s="197"/>
      <c r="K33" s="197"/>
      <c r="L33" s="198"/>
      <c r="M33" s="197"/>
      <c r="N33" s="197"/>
      <c r="O33" s="197"/>
      <c r="P33" s="197"/>
      <c r="Q33" s="197"/>
      <c r="R33" s="41" t="str">
        <f>'Pre- and Production'!AO188</f>
        <v>Percent</v>
      </c>
      <c r="S33" s="195" t="e">
        <f>'Pre- and Production'!AP188</f>
        <v>#DIV/0!</v>
      </c>
    </row>
    <row r="34" spans="2:19" ht="13.5" thickBot="1">
      <c r="B34" s="198"/>
      <c r="C34" s="197"/>
      <c r="D34" s="197"/>
      <c r="E34" s="197"/>
      <c r="F34" s="197"/>
      <c r="G34" s="197"/>
      <c r="I34" s="197"/>
      <c r="J34" s="197"/>
      <c r="K34" s="197"/>
      <c r="L34" s="198"/>
      <c r="M34" s="197"/>
      <c r="N34" s="197"/>
      <c r="O34" s="197"/>
      <c r="P34" s="197"/>
      <c r="Q34" s="197"/>
      <c r="S34" s="197"/>
    </row>
    <row r="35" spans="2:19" ht="15.75" thickTop="1">
      <c r="B35" s="198"/>
      <c r="C35" s="270" t="str">
        <f>'Pre- and Production'!Z190</f>
        <v>Production Base Cost</v>
      </c>
      <c r="D35" s="271"/>
      <c r="E35" s="271"/>
      <c r="F35" s="271"/>
      <c r="G35" s="271"/>
      <c r="H35" s="271"/>
      <c r="I35" s="272"/>
      <c r="J35" s="197"/>
      <c r="K35" s="197"/>
      <c r="L35" s="198"/>
      <c r="M35" s="270" t="str">
        <f>'Pre- and Production'!AJ190</f>
        <v>Production Contingency Cost</v>
      </c>
      <c r="N35" s="271"/>
      <c r="O35" s="271"/>
      <c r="P35" s="271"/>
      <c r="Q35" s="271"/>
      <c r="R35" s="271"/>
      <c r="S35" s="272"/>
    </row>
    <row r="36" spans="2:19" ht="15">
      <c r="B36" s="198"/>
      <c r="C36" s="202" t="str">
        <f>'Pre- and Production'!Z191</f>
        <v>Shop Time</v>
      </c>
      <c r="D36" s="203" t="str">
        <f>'Pre- and Production'!AA191</f>
        <v>MT Time</v>
      </c>
      <c r="E36" s="203" t="str">
        <f>'Pre- and Production'!AB191</f>
        <v>CMM</v>
      </c>
      <c r="F36" s="203" t="str">
        <f>'Pre- and Production'!AC191</f>
        <v>Engineering</v>
      </c>
      <c r="G36" s="203" t="str">
        <f>'Pre- and Production'!AD191</f>
        <v>Design</v>
      </c>
      <c r="H36" s="205" t="str">
        <f>'Pre- and Production'!AE191</f>
        <v>M&amp;S Cost</v>
      </c>
      <c r="I36" s="204"/>
      <c r="J36" s="197"/>
      <c r="K36" s="197"/>
      <c r="L36" s="198"/>
      <c r="M36" s="202" t="str">
        <f>'Pre- and Production'!AJ191</f>
        <v>Shop Time</v>
      </c>
      <c r="N36" s="203" t="str">
        <f>'Pre- and Production'!AK191</f>
        <v>MT Time</v>
      </c>
      <c r="O36" s="203" t="str">
        <f>'Pre- and Production'!AL191</f>
        <v>CMM</v>
      </c>
      <c r="P36" s="203" t="str">
        <f>'Pre- and Production'!AM191</f>
        <v>Engineering</v>
      </c>
      <c r="Q36" s="203" t="str">
        <f>'Pre- and Production'!AN191</f>
        <v>Design</v>
      </c>
      <c r="R36" s="205" t="str">
        <f>'Pre- and Production'!AO191</f>
        <v>M&amp;S Cost</v>
      </c>
      <c r="S36" s="204"/>
    </row>
    <row r="37" spans="2:19">
      <c r="B37" s="198">
        <f>'Pre- and Production'!Y192</f>
        <v>2008</v>
      </c>
      <c r="C37" s="199">
        <f>'Pre- and Production'!Z192</f>
        <v>0</v>
      </c>
      <c r="D37" s="200">
        <f>'Pre- and Production'!AA192</f>
        <v>0</v>
      </c>
      <c r="E37" s="200">
        <f>'Pre- and Production'!AB192</f>
        <v>0</v>
      </c>
      <c r="F37" s="200">
        <f>'Pre- and Production'!AC192</f>
        <v>0</v>
      </c>
      <c r="G37" s="200">
        <f>'Pre- and Production'!AD192</f>
        <v>0</v>
      </c>
      <c r="H37" s="54">
        <f>'Pre- and Production'!AE192</f>
        <v>0</v>
      </c>
      <c r="I37" s="201"/>
      <c r="J37" s="197"/>
      <c r="K37" s="197"/>
      <c r="L37" s="198">
        <f>'Pre- and Production'!AI192</f>
        <v>2008</v>
      </c>
      <c r="M37" s="199">
        <f>'Pre- and Production'!AJ192</f>
        <v>0</v>
      </c>
      <c r="N37" s="200">
        <f>'Pre- and Production'!AK192</f>
        <v>0</v>
      </c>
      <c r="O37" s="200">
        <f>'Pre- and Production'!AL192</f>
        <v>0</v>
      </c>
      <c r="P37" s="200">
        <f>'Pre- and Production'!AM192</f>
        <v>0</v>
      </c>
      <c r="Q37" s="200">
        <f>'Pre- and Production'!AN192</f>
        <v>0</v>
      </c>
      <c r="R37" s="54">
        <f>'Pre- and Production'!AO192</f>
        <v>0</v>
      </c>
      <c r="S37" s="201"/>
    </row>
    <row r="38" spans="2:19">
      <c r="B38" s="198">
        <f>'Pre- and Production'!Y193</f>
        <v>2009</v>
      </c>
      <c r="C38" s="199">
        <f>'Pre- and Production'!Z193</f>
        <v>500</v>
      </c>
      <c r="D38" s="200">
        <f>'Pre- and Production'!AA193</f>
        <v>628</v>
      </c>
      <c r="E38" s="200">
        <f>'Pre- and Production'!AB193</f>
        <v>92</v>
      </c>
      <c r="F38" s="200">
        <f>'Pre- and Production'!AC193</f>
        <v>416</v>
      </c>
      <c r="G38" s="200">
        <f>'Pre- and Production'!AD193</f>
        <v>0</v>
      </c>
      <c r="H38" s="54">
        <f>'Pre- and Production'!AE193</f>
        <v>43492.5</v>
      </c>
      <c r="I38" s="201"/>
      <c r="J38" s="197"/>
      <c r="K38" s="197"/>
      <c r="L38" s="198">
        <f>'Pre- and Production'!AI193</f>
        <v>2009</v>
      </c>
      <c r="M38" s="199">
        <f>'Pre- and Production'!AJ193</f>
        <v>72</v>
      </c>
      <c r="N38" s="200">
        <f>'Pre- and Production'!AK193</f>
        <v>197</v>
      </c>
      <c r="O38" s="200">
        <f>'Pre- and Production'!AL193</f>
        <v>112</v>
      </c>
      <c r="P38" s="200">
        <f>'Pre- and Production'!AM193</f>
        <v>92</v>
      </c>
      <c r="Q38" s="200">
        <f>'Pre- and Production'!AN193</f>
        <v>0</v>
      </c>
      <c r="R38" s="54">
        <f>'Pre- and Production'!AO193</f>
        <v>2225</v>
      </c>
      <c r="S38" s="201"/>
    </row>
    <row r="39" spans="2:19">
      <c r="B39" s="198">
        <f>'Pre- and Production'!Y194</f>
        <v>2010</v>
      </c>
      <c r="C39" s="199">
        <f>'Pre- and Production'!Z194</f>
        <v>0</v>
      </c>
      <c r="D39" s="200">
        <f>'Pre- and Production'!AA194</f>
        <v>0</v>
      </c>
      <c r="E39" s="200">
        <f>'Pre- and Production'!AB194</f>
        <v>0</v>
      </c>
      <c r="F39" s="200">
        <f>'Pre- and Production'!AC194</f>
        <v>0</v>
      </c>
      <c r="G39" s="200">
        <f>'Pre- and Production'!AD194</f>
        <v>0</v>
      </c>
      <c r="H39" s="54">
        <f>'Pre- and Production'!AE194</f>
        <v>0</v>
      </c>
      <c r="I39" s="201"/>
      <c r="J39" s="197"/>
      <c r="K39" s="197"/>
      <c r="L39" s="198">
        <f>'Pre- and Production'!AI194</f>
        <v>2010</v>
      </c>
      <c r="M39" s="199">
        <f>'Pre- and Production'!AJ194</f>
        <v>0</v>
      </c>
      <c r="N39" s="200">
        <f>'Pre- and Production'!AK194</f>
        <v>0</v>
      </c>
      <c r="O39" s="200">
        <f>'Pre- and Production'!AL194</f>
        <v>0</v>
      </c>
      <c r="P39" s="200">
        <f>'Pre- and Production'!AM194</f>
        <v>0</v>
      </c>
      <c r="Q39" s="200">
        <f>'Pre- and Production'!AN194</f>
        <v>0</v>
      </c>
      <c r="R39" s="54">
        <f>'Pre- and Production'!AO194</f>
        <v>0</v>
      </c>
      <c r="S39" s="201"/>
    </row>
    <row r="40" spans="2:19">
      <c r="B40" s="198" t="str">
        <f>'Pre- and Production'!Y195</f>
        <v>Hytec</v>
      </c>
      <c r="C40" s="199">
        <f>'Pre- and Production'!Z195</f>
        <v>174</v>
      </c>
      <c r="D40" s="200">
        <f>'Pre- and Production'!AA195</f>
        <v>0</v>
      </c>
      <c r="E40" s="200">
        <f>'Pre- and Production'!AB195</f>
        <v>0</v>
      </c>
      <c r="F40" s="200">
        <f>'Pre- and Production'!AC195</f>
        <v>0</v>
      </c>
      <c r="G40" s="200">
        <f>'Pre- and Production'!AD195</f>
        <v>0</v>
      </c>
      <c r="H40" s="54">
        <f>'Pre- and Production'!AE195</f>
        <v>5550</v>
      </c>
      <c r="I40" s="201"/>
      <c r="J40" s="197"/>
      <c r="K40" s="197"/>
      <c r="L40" s="198" t="str">
        <f>'Pre- and Production'!AI195</f>
        <v>Hytec</v>
      </c>
      <c r="M40" s="199">
        <f>'Pre- and Production'!AJ195</f>
        <v>31.6</v>
      </c>
      <c r="N40" s="200">
        <f>'Pre- and Production'!AK195</f>
        <v>0</v>
      </c>
      <c r="O40" s="200">
        <f>'Pre- and Production'!AL195</f>
        <v>0</v>
      </c>
      <c r="P40" s="200">
        <f>'Pre- and Production'!AM195</f>
        <v>0</v>
      </c>
      <c r="Q40" s="200">
        <f>'Pre- and Production'!AN195</f>
        <v>0</v>
      </c>
      <c r="R40" s="54">
        <f>'Pre- and Production'!AO195</f>
        <v>804</v>
      </c>
      <c r="S40" s="201"/>
    </row>
    <row r="41" spans="2:19">
      <c r="B41" s="198" t="str">
        <f>'Pre- and Production'!Y196</f>
        <v>LANL</v>
      </c>
      <c r="C41" s="199">
        <f>'Pre- and Production'!Z196</f>
        <v>0</v>
      </c>
      <c r="D41" s="200">
        <f>'Pre- and Production'!AA196</f>
        <v>0</v>
      </c>
      <c r="E41" s="200">
        <f>'Pre- and Production'!AB196</f>
        <v>0</v>
      </c>
      <c r="F41" s="200">
        <f>'Pre- and Production'!AC196</f>
        <v>0</v>
      </c>
      <c r="G41" s="200">
        <f>'Pre- and Production'!AD196</f>
        <v>0</v>
      </c>
      <c r="H41" s="54">
        <f>'Pre- and Production'!AE196</f>
        <v>0</v>
      </c>
      <c r="I41" s="201"/>
      <c r="J41" s="197"/>
      <c r="K41" s="197"/>
      <c r="L41" s="198" t="str">
        <f>'Pre- and Production'!AI196</f>
        <v>LANL</v>
      </c>
      <c r="M41" s="199">
        <f>'Pre- and Production'!AJ196</f>
        <v>0</v>
      </c>
      <c r="N41" s="200">
        <f>'Pre- and Production'!AK196</f>
        <v>0</v>
      </c>
      <c r="O41" s="200">
        <f>'Pre- and Production'!AL196</f>
        <v>0</v>
      </c>
      <c r="P41" s="200">
        <f>'Pre- and Production'!AM196</f>
        <v>0</v>
      </c>
      <c r="Q41" s="200">
        <f>'Pre- and Production'!AN196</f>
        <v>0</v>
      </c>
      <c r="R41" s="54">
        <f>'Pre- and Production'!AO196</f>
        <v>0</v>
      </c>
      <c r="S41" s="201"/>
    </row>
    <row r="42" spans="2:19" ht="15">
      <c r="B42" s="198"/>
      <c r="C42" s="267" t="str">
        <f>'Pre- and Production'!Z197</f>
        <v>LBNL Cost</v>
      </c>
      <c r="D42" s="268"/>
      <c r="E42" s="268"/>
      <c r="F42" s="268"/>
      <c r="G42" s="268"/>
      <c r="H42" s="268"/>
      <c r="I42" s="269"/>
      <c r="J42" s="197"/>
      <c r="K42" s="197"/>
      <c r="L42" s="198"/>
      <c r="M42" s="267" t="str">
        <f>'Pre- and Production'!AJ197</f>
        <v>LBNL Cost</v>
      </c>
      <c r="N42" s="268"/>
      <c r="O42" s="268"/>
      <c r="P42" s="268"/>
      <c r="Q42" s="268"/>
      <c r="R42" s="268"/>
      <c r="S42" s="269"/>
    </row>
    <row r="43" spans="2:19" ht="15">
      <c r="B43" s="198"/>
      <c r="C43" s="202" t="str">
        <f>'Pre- and Production'!Z198</f>
        <v>Shop Cost</v>
      </c>
      <c r="D43" s="203" t="str">
        <f>'Pre- and Production'!AA198</f>
        <v>MT Cost</v>
      </c>
      <c r="E43" s="203" t="str">
        <f>'Pre- and Production'!AB198</f>
        <v>CMM</v>
      </c>
      <c r="F43" s="203" t="str">
        <f>'Pre- and Production'!AC198</f>
        <v>Engineering</v>
      </c>
      <c r="G43" s="203" t="str">
        <f>'Pre- and Production'!AD198</f>
        <v>Design</v>
      </c>
      <c r="H43" s="205" t="str">
        <f>'Pre- and Production'!AE198</f>
        <v>M&amp;S Cost</v>
      </c>
      <c r="I43" s="204" t="str">
        <f>'Pre- and Production'!AF198</f>
        <v>Totals</v>
      </c>
      <c r="J43" s="197"/>
      <c r="K43" s="197"/>
      <c r="L43" s="198"/>
      <c r="M43" s="202" t="str">
        <f>'Pre- and Production'!AJ198</f>
        <v>Shop Cost</v>
      </c>
      <c r="N43" s="203" t="str">
        <f>'Pre- and Production'!AK198</f>
        <v>MT Cost</v>
      </c>
      <c r="O43" s="203" t="str">
        <f>'Pre- and Production'!AL198</f>
        <v>CMM</v>
      </c>
      <c r="P43" s="203" t="str">
        <f>'Pre- and Production'!AM198</f>
        <v>Engineering</v>
      </c>
      <c r="Q43" s="203" t="str">
        <f>'Pre- and Production'!AN198</f>
        <v>Design</v>
      </c>
      <c r="R43" s="205" t="str">
        <f>'Pre- and Production'!AO198</f>
        <v>M&amp;S Cost</v>
      </c>
      <c r="S43" s="204" t="str">
        <f>'Pre- and Production'!AP198</f>
        <v>Totals</v>
      </c>
    </row>
    <row r="44" spans="2:19">
      <c r="B44" s="198">
        <f>'Pre- and Production'!Y199</f>
        <v>2008</v>
      </c>
      <c r="C44" s="56">
        <f>'Pre- and Production'!Z199</f>
        <v>0</v>
      </c>
      <c r="D44" s="54">
        <f>'Pre- and Production'!AA199</f>
        <v>0</v>
      </c>
      <c r="E44" s="54">
        <f>'Pre- and Production'!AB199</f>
        <v>0</v>
      </c>
      <c r="F44" s="54">
        <f>'Pre- and Production'!AC199</f>
        <v>0</v>
      </c>
      <c r="G44" s="54">
        <f>'Pre- and Production'!AD199</f>
        <v>0</v>
      </c>
      <c r="H44" s="54">
        <f>'Pre- and Production'!AE199</f>
        <v>0</v>
      </c>
      <c r="I44" s="57">
        <f>'Pre- and Production'!AF199</f>
        <v>0</v>
      </c>
      <c r="J44" s="197"/>
      <c r="K44" s="197"/>
      <c r="L44" s="198">
        <f>'Pre- and Production'!AI199</f>
        <v>2008</v>
      </c>
      <c r="M44" s="56">
        <f>'Pre- and Production'!AJ199</f>
        <v>0</v>
      </c>
      <c r="N44" s="54">
        <f>'Pre- and Production'!AK199</f>
        <v>0</v>
      </c>
      <c r="O44" s="54">
        <f>'Pre- and Production'!AL199</f>
        <v>0</v>
      </c>
      <c r="P44" s="54">
        <f>'Pre- and Production'!AM199</f>
        <v>0</v>
      </c>
      <c r="Q44" s="54">
        <f>'Pre- and Production'!AN199</f>
        <v>0</v>
      </c>
      <c r="R44" s="54">
        <f>'Pre- and Production'!AO199</f>
        <v>0</v>
      </c>
      <c r="S44" s="57">
        <f>'Pre- and Production'!AP199</f>
        <v>0</v>
      </c>
    </row>
    <row r="45" spans="2:19">
      <c r="B45" s="198">
        <f>'Pre- and Production'!Y200</f>
        <v>2009</v>
      </c>
      <c r="C45" s="56">
        <f>'Pre- and Production'!Z200</f>
        <v>63500</v>
      </c>
      <c r="D45" s="54">
        <f>'Pre- and Production'!AA200</f>
        <v>73476</v>
      </c>
      <c r="E45" s="54">
        <f>'Pre- and Production'!AB200</f>
        <v>11684</v>
      </c>
      <c r="F45" s="54">
        <f>'Pre- and Production'!AC200</f>
        <v>62400</v>
      </c>
      <c r="G45" s="54">
        <f>'Pre- and Production'!AD200</f>
        <v>0</v>
      </c>
      <c r="H45" s="54">
        <f>'Pre- and Production'!AE200</f>
        <v>43492.5</v>
      </c>
      <c r="I45" s="57">
        <f>'Pre- and Production'!AF200</f>
        <v>254552.5</v>
      </c>
      <c r="J45" s="197"/>
      <c r="K45" s="197"/>
      <c r="L45" s="198">
        <f>'Pre- and Production'!AI200</f>
        <v>2009</v>
      </c>
      <c r="M45" s="56">
        <f>'Pre- and Production'!AJ200</f>
        <v>9144</v>
      </c>
      <c r="N45" s="54">
        <f>'Pre- and Production'!AK200</f>
        <v>23049</v>
      </c>
      <c r="O45" s="54">
        <f>'Pre- and Production'!AL200</f>
        <v>14224</v>
      </c>
      <c r="P45" s="54">
        <f>'Pre- and Production'!AM200</f>
        <v>13800</v>
      </c>
      <c r="Q45" s="54">
        <f>'Pre- and Production'!AN200</f>
        <v>0</v>
      </c>
      <c r="R45" s="54">
        <f>'Pre- and Production'!AO200</f>
        <v>2225</v>
      </c>
      <c r="S45" s="57">
        <f>'Pre- and Production'!AP200</f>
        <v>62442</v>
      </c>
    </row>
    <row r="46" spans="2:19" ht="13.5" thickBot="1">
      <c r="B46" s="198">
        <f>'Pre- and Production'!Y201</f>
        <v>2010</v>
      </c>
      <c r="C46" s="58">
        <f>'Pre- and Production'!Z201</f>
        <v>0</v>
      </c>
      <c r="D46" s="59">
        <f>'Pre- and Production'!AA201</f>
        <v>0</v>
      </c>
      <c r="E46" s="59">
        <f>'Pre- and Production'!AB201</f>
        <v>0</v>
      </c>
      <c r="F46" s="59">
        <f>'Pre- and Production'!AC201</f>
        <v>0</v>
      </c>
      <c r="G46" s="59">
        <f>'Pre- and Production'!AD201</f>
        <v>0</v>
      </c>
      <c r="H46" s="59">
        <f>'Pre- and Production'!AE201</f>
        <v>0</v>
      </c>
      <c r="I46" s="60">
        <f>'Pre- and Production'!AF201</f>
        <v>0</v>
      </c>
      <c r="J46" s="197"/>
      <c r="K46" s="197"/>
      <c r="L46" s="198">
        <f>'Pre- and Production'!AI201</f>
        <v>2010</v>
      </c>
      <c r="M46" s="58">
        <f>'Pre- and Production'!AJ201</f>
        <v>0</v>
      </c>
      <c r="N46" s="59">
        <f>'Pre- and Production'!AK201</f>
        <v>0</v>
      </c>
      <c r="O46" s="59">
        <f>'Pre- and Production'!AL201</f>
        <v>0</v>
      </c>
      <c r="P46" s="59">
        <f>'Pre- and Production'!AM201</f>
        <v>0</v>
      </c>
      <c r="Q46" s="59">
        <f>'Pre- and Production'!AN201</f>
        <v>0</v>
      </c>
      <c r="R46" s="59">
        <f>'Pre- and Production'!AO201</f>
        <v>0</v>
      </c>
      <c r="S46" s="60">
        <f>'Pre- and Production'!AP201</f>
        <v>0</v>
      </c>
    </row>
    <row r="47" spans="2:19" ht="13.5" thickTop="1">
      <c r="B47" s="198"/>
      <c r="C47" s="197"/>
      <c r="D47" s="197"/>
      <c r="E47" s="197"/>
      <c r="F47" s="197"/>
      <c r="G47" s="197"/>
      <c r="H47" s="41" t="str">
        <f>'Pre- and Production'!AE202</f>
        <v>Base Cost</v>
      </c>
      <c r="I47" s="31">
        <f>'Pre- and Production'!AF202</f>
        <v>254552.5</v>
      </c>
      <c r="J47" s="197"/>
      <c r="K47" s="197"/>
      <c r="L47" s="198"/>
      <c r="M47" s="197"/>
      <c r="N47" s="197"/>
      <c r="O47" s="197"/>
      <c r="P47" s="197"/>
      <c r="Q47" s="197"/>
      <c r="R47" s="41" t="str">
        <f>'Pre- and Production'!AO202</f>
        <v>Contingency</v>
      </c>
      <c r="S47" s="31">
        <f>'Pre- and Production'!AP202</f>
        <v>62442</v>
      </c>
    </row>
    <row r="48" spans="2:19">
      <c r="B48" s="198"/>
      <c r="C48" s="197"/>
      <c r="D48" s="197"/>
      <c r="E48" s="197"/>
      <c r="F48" s="197"/>
      <c r="G48" s="197"/>
      <c r="I48" s="197"/>
      <c r="J48" s="197"/>
      <c r="K48" s="197"/>
      <c r="L48" s="198"/>
      <c r="M48" s="197"/>
      <c r="N48" s="197"/>
      <c r="O48" s="197"/>
      <c r="P48" s="197"/>
      <c r="Q48" s="197"/>
      <c r="R48" s="41" t="str">
        <f>'Pre- and Production'!AO203</f>
        <v>Percent</v>
      </c>
      <c r="S48" s="195">
        <f>'Pre- and Production'!AP203</f>
        <v>0.24530106755973718</v>
      </c>
    </row>
  </sheetData>
  <mergeCells count="12">
    <mergeCell ref="C42:I42"/>
    <mergeCell ref="M42:S42"/>
    <mergeCell ref="C5:I5"/>
    <mergeCell ref="M5:S5"/>
    <mergeCell ref="C12:I12"/>
    <mergeCell ref="M12:S12"/>
    <mergeCell ref="C20:I20"/>
    <mergeCell ref="C35:I35"/>
    <mergeCell ref="M35:S35"/>
    <mergeCell ref="M20:S20"/>
    <mergeCell ref="C27:I27"/>
    <mergeCell ref="M27:S27"/>
  </mergeCells>
  <pageMargins left="0.49" right="0.46" top="1.1000000000000001" bottom="0.75" header="0.3" footer="0.3"/>
  <pageSetup paperSize="9" scale="79" orientation="landscape" horizontalDpi="4294967293" r:id="rId1"/>
  <headerFooter>
    <oddHeader>&amp;C&amp;16PHENIX STAVE COST SUMMARY</oddHeader>
    <oddFooter>&amp;LReleased 9-Nov 2007&amp;C&amp;F&amp;RE Anderssen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204"/>
  <sheetViews>
    <sheetView zoomScaleNormal="100" workbookViewId="0">
      <pane ySplit="3255" topLeftCell="A4" activePane="bottomLeft"/>
      <selection activeCell="T1" sqref="T1:X1048576"/>
      <selection pane="bottomLeft" activeCell="A31" sqref="A31"/>
    </sheetView>
  </sheetViews>
  <sheetFormatPr defaultRowHeight="12.75"/>
  <cols>
    <col min="1" max="1" width="49.28515625" bestFit="1" customWidth="1"/>
    <col min="2" max="2" width="16.7109375" bestFit="1" customWidth="1"/>
    <col min="3" max="3" width="6" bestFit="1" customWidth="1"/>
    <col min="4" max="4" width="9.42578125" bestFit="1" customWidth="1"/>
    <col min="5" max="5" width="7.5703125" style="31" bestFit="1" customWidth="1"/>
    <col min="6" max="6" width="8" style="31" bestFit="1" customWidth="1"/>
    <col min="7" max="8" width="5.7109375" style="132" bestFit="1" customWidth="1"/>
    <col min="9" max="9" width="4.5703125" style="132" bestFit="1" customWidth="1"/>
    <col min="10" max="10" width="5.7109375" style="133" bestFit="1" customWidth="1"/>
    <col min="11" max="11" width="4.5703125" style="133" bestFit="1" customWidth="1"/>
    <col min="12" max="12" width="6.28515625" bestFit="1" customWidth="1"/>
    <col min="13" max="13" width="8.7109375" bestFit="1" customWidth="1"/>
    <col min="14" max="14" width="4.85546875" style="26" customWidth="1"/>
    <col min="15" max="15" width="10.7109375" customWidth="1"/>
    <col min="16" max="16" width="2.5703125" customWidth="1"/>
    <col min="17" max="17" width="3.7109375" style="110" bestFit="1" customWidth="1"/>
    <col min="18" max="18" width="3.7109375" style="110" customWidth="1"/>
    <col min="19" max="19" width="9.5703125" style="190" hidden="1" customWidth="1"/>
    <col min="20" max="20" width="14.5703125" style="13" hidden="1" customWidth="1"/>
    <col min="21" max="21" width="12.140625" style="16" hidden="1" customWidth="1"/>
    <col min="22" max="22" width="14.42578125" style="16" hidden="1" customWidth="1"/>
    <col min="23" max="23" width="17.7109375" style="16" hidden="1" customWidth="1"/>
    <col min="24" max="24" width="12.5703125" style="16" hidden="1" customWidth="1"/>
    <col min="25" max="25" width="6.7109375" style="44" bestFit="1" customWidth="1"/>
    <col min="26" max="26" width="10.7109375" bestFit="1" customWidth="1"/>
    <col min="27" max="27" width="9.140625" bestFit="1" customWidth="1"/>
    <col min="28" max="28" width="6.5703125" bestFit="1" customWidth="1"/>
    <col min="29" max="29" width="11.85546875" bestFit="1" customWidth="1"/>
    <col min="30" max="30" width="7.5703125" bestFit="1" customWidth="1"/>
    <col min="31" max="31" width="11.7109375" customWidth="1"/>
    <col min="32" max="32" width="10.85546875" bestFit="1" customWidth="1"/>
    <col min="33" max="33" width="10.42578125" customWidth="1"/>
    <col min="34" max="34" width="10.42578125" hidden="1" customWidth="1"/>
    <col min="35" max="35" width="11.28515625" style="31" bestFit="1" customWidth="1"/>
    <col min="36" max="36" width="10.7109375" bestFit="1" customWidth="1"/>
    <col min="37" max="37" width="9.140625" bestFit="1" customWidth="1"/>
    <col min="38" max="38" width="7.5703125" bestFit="1" customWidth="1"/>
    <col min="39" max="39" width="11.85546875" bestFit="1" customWidth="1"/>
    <col min="40" max="40" width="7.5703125" bestFit="1" customWidth="1"/>
    <col min="41" max="41" width="12.85546875" bestFit="1" customWidth="1"/>
    <col min="42" max="42" width="10.85546875" bestFit="1" customWidth="1"/>
  </cols>
  <sheetData>
    <row r="2" spans="1:42" ht="18">
      <c r="A2" s="14" t="s">
        <v>183</v>
      </c>
      <c r="Q2" s="282" t="s">
        <v>94</v>
      </c>
      <c r="R2" s="283"/>
      <c r="S2" s="283"/>
      <c r="T2" s="283"/>
      <c r="U2" s="283"/>
      <c r="V2" s="283"/>
      <c r="W2" s="283"/>
      <c r="X2" s="283"/>
      <c r="Y2" s="284"/>
      <c r="Z2" s="285" t="s">
        <v>51</v>
      </c>
      <c r="AA2" s="286"/>
      <c r="AB2" s="286"/>
      <c r="AC2" s="286"/>
      <c r="AD2" s="286"/>
      <c r="AE2" s="286"/>
      <c r="AF2" s="287"/>
      <c r="AG2" s="47"/>
      <c r="AH2" s="47"/>
      <c r="AJ2" s="285" t="s">
        <v>52</v>
      </c>
      <c r="AK2" s="286"/>
      <c r="AL2" s="286"/>
      <c r="AM2" s="286"/>
      <c r="AN2" s="286"/>
      <c r="AO2" s="286"/>
      <c r="AP2" s="287"/>
    </row>
    <row r="3" spans="1:42" ht="118.9" customHeight="1">
      <c r="A3" s="1" t="s">
        <v>0</v>
      </c>
      <c r="B3" s="1" t="s">
        <v>6</v>
      </c>
      <c r="C3" s="19" t="s">
        <v>1</v>
      </c>
      <c r="D3" s="1" t="s">
        <v>2</v>
      </c>
      <c r="E3" s="119" t="s">
        <v>4</v>
      </c>
      <c r="F3" s="127" t="s">
        <v>3</v>
      </c>
      <c r="G3" s="134" t="s">
        <v>11</v>
      </c>
      <c r="H3" s="134" t="s">
        <v>10</v>
      </c>
      <c r="I3" s="134" t="s">
        <v>39</v>
      </c>
      <c r="J3" s="135" t="s">
        <v>29</v>
      </c>
      <c r="K3" s="135" t="s">
        <v>30</v>
      </c>
      <c r="L3" s="1" t="s">
        <v>2</v>
      </c>
      <c r="M3" s="111" t="s">
        <v>74</v>
      </c>
      <c r="N3" s="27" t="s">
        <v>42</v>
      </c>
      <c r="O3" s="173" t="s">
        <v>112</v>
      </c>
      <c r="P3" s="12"/>
      <c r="Q3" s="94" t="s">
        <v>43</v>
      </c>
      <c r="R3" s="177" t="s">
        <v>91</v>
      </c>
      <c r="S3" s="191" t="s">
        <v>93</v>
      </c>
      <c r="T3" s="95" t="s">
        <v>35</v>
      </c>
      <c r="U3" s="96" t="s">
        <v>36</v>
      </c>
      <c r="V3" s="96" t="s">
        <v>90</v>
      </c>
      <c r="W3" s="96" t="s">
        <v>37</v>
      </c>
      <c r="X3" s="96" t="s">
        <v>38</v>
      </c>
      <c r="Y3" s="97" t="s">
        <v>48</v>
      </c>
      <c r="Z3" s="98" t="s">
        <v>14</v>
      </c>
      <c r="AA3" s="99" t="s">
        <v>15</v>
      </c>
      <c r="AB3" s="99" t="s">
        <v>39</v>
      </c>
      <c r="AC3" s="99" t="s">
        <v>31</v>
      </c>
      <c r="AD3" s="99" t="s">
        <v>32</v>
      </c>
      <c r="AE3" s="99" t="s">
        <v>76</v>
      </c>
      <c r="AF3" s="100" t="s">
        <v>12</v>
      </c>
      <c r="AG3" s="20"/>
      <c r="AH3" s="20"/>
      <c r="AJ3" s="98" t="s">
        <v>14</v>
      </c>
      <c r="AK3" s="99" t="s">
        <v>15</v>
      </c>
      <c r="AL3" s="99" t="s">
        <v>39</v>
      </c>
      <c r="AM3" s="99" t="s">
        <v>31</v>
      </c>
      <c r="AN3" s="99" t="s">
        <v>32</v>
      </c>
      <c r="AO3" s="99" t="s">
        <v>76</v>
      </c>
      <c r="AP3" s="100" t="s">
        <v>12</v>
      </c>
    </row>
    <row r="4" spans="1:42" ht="15.75">
      <c r="A4" s="104" t="s">
        <v>60</v>
      </c>
      <c r="B4" s="2" t="s">
        <v>5</v>
      </c>
      <c r="C4" s="2"/>
      <c r="D4" s="2"/>
      <c r="E4" s="3"/>
      <c r="F4" s="128"/>
      <c r="G4" s="136"/>
      <c r="H4" s="136"/>
      <c r="I4" s="136"/>
      <c r="J4" s="137"/>
      <c r="K4" s="138"/>
      <c r="L4" s="2"/>
      <c r="M4" s="2"/>
      <c r="N4" s="15"/>
      <c r="O4" s="2"/>
      <c r="P4" s="2"/>
      <c r="Q4" s="107"/>
      <c r="R4" s="178"/>
      <c r="S4" s="185"/>
      <c r="T4" s="71"/>
      <c r="U4" s="71"/>
      <c r="V4" s="71"/>
      <c r="W4" s="71"/>
      <c r="X4" s="176" t="s">
        <v>89</v>
      </c>
      <c r="Y4" s="89"/>
      <c r="Z4" s="71"/>
      <c r="AA4" s="71"/>
      <c r="AB4" s="71"/>
      <c r="AC4" s="71"/>
      <c r="AD4" s="71"/>
      <c r="AE4" s="71"/>
      <c r="AF4" s="72"/>
      <c r="AJ4" s="79"/>
      <c r="AK4" s="71"/>
      <c r="AL4" s="71"/>
      <c r="AM4" s="71"/>
      <c r="AN4" s="71"/>
      <c r="AO4" s="71"/>
      <c r="AP4" s="72"/>
    </row>
    <row r="5" spans="1:42">
      <c r="A5" s="103" t="s">
        <v>109</v>
      </c>
      <c r="B5" s="40" t="s">
        <v>64</v>
      </c>
      <c r="C5">
        <v>1</v>
      </c>
      <c r="D5" s="40" t="s">
        <v>65</v>
      </c>
      <c r="E5" s="31">
        <v>10000</v>
      </c>
      <c r="F5" s="128">
        <f t="shared" ref="F5:F8" si="0">E5*C5</f>
        <v>10000</v>
      </c>
      <c r="G5" s="139">
        <v>0</v>
      </c>
      <c r="H5" s="139">
        <v>0</v>
      </c>
      <c r="I5" s="139">
        <v>0</v>
      </c>
      <c r="J5" s="139">
        <v>2</v>
      </c>
      <c r="K5" s="140">
        <v>0</v>
      </c>
      <c r="L5" t="s">
        <v>8</v>
      </c>
      <c r="M5" s="31">
        <f t="shared" ref="M5:M8" si="1">((Shop*G5)+(M_Tech*H5)+(CMM*I5)+(ENG*J5)+(DES*K5))*N5</f>
        <v>0</v>
      </c>
      <c r="N5" s="242">
        <v>0</v>
      </c>
      <c r="O5" s="41">
        <f t="shared" ref="O5:O8" si="2">M5+(N5*F5)</f>
        <v>0</v>
      </c>
      <c r="P5" s="41"/>
      <c r="Q5" s="108" t="s">
        <v>49</v>
      </c>
      <c r="R5" s="179" t="s">
        <v>92</v>
      </c>
      <c r="S5" s="186" t="str">
        <f>CONCATENATE(Q5,R5,Y5)</f>
        <v>BPD2009</v>
      </c>
      <c r="T5" s="2"/>
      <c r="U5" s="2"/>
      <c r="V5" s="2"/>
      <c r="W5" s="2"/>
      <c r="X5" s="2"/>
      <c r="Y5" s="85">
        <v>2009</v>
      </c>
      <c r="Z5" s="2">
        <f t="shared" ref="Z5:Z17" si="3">IF($Q5="B", (G5*$N5),0)</f>
        <v>0</v>
      </c>
      <c r="AA5" s="2">
        <f t="shared" ref="AA5:AA17" si="4">IF($Q5="B", (H5*$N5),0)</f>
        <v>0</v>
      </c>
      <c r="AB5" s="2">
        <f t="shared" ref="AB5:AB17" si="5">IF($Q5="B", (I5*$N5),0)</f>
        <v>0</v>
      </c>
      <c r="AC5" s="2">
        <f t="shared" ref="AC5:AC17" si="6">IF($Q5="B", (J5*$N5),0)</f>
        <v>0</v>
      </c>
      <c r="AD5" s="2">
        <f t="shared" ref="AD5:AD17" si="7">IF($Q5="B", (K5*$N5),0)</f>
        <v>0</v>
      </c>
      <c r="AE5" s="3">
        <f t="shared" ref="AE5:AE8" si="8">IF($Q5="B", (F5*$N5),0)</f>
        <v>0</v>
      </c>
      <c r="AF5" s="73"/>
      <c r="AJ5" s="80">
        <f t="shared" ref="AJ5:AJ17" si="9">IF($Q5="C", (G5*$N5),0)</f>
        <v>0</v>
      </c>
      <c r="AK5" s="10">
        <f t="shared" ref="AK5:AK17" si="10">IF($Q5="C", (H5*$N5),0)</f>
        <v>0</v>
      </c>
      <c r="AL5" s="10">
        <f t="shared" ref="AL5:AL17" si="11">IF($Q5="C", (I5*$N5),0)</f>
        <v>0</v>
      </c>
      <c r="AM5" s="10">
        <f t="shared" ref="AM5:AM17" si="12">IF($Q5="C", (J5*$N5),0)</f>
        <v>0</v>
      </c>
      <c r="AN5" s="10">
        <f t="shared" ref="AN5:AN17" si="13">IF($Q5="C", (K5*$N5),0)</f>
        <v>0</v>
      </c>
      <c r="AO5" s="2">
        <f t="shared" ref="AO5:AO8" si="14">IF($Q5="C", (F5*$N5),0)</f>
        <v>0</v>
      </c>
      <c r="AP5" s="73"/>
    </row>
    <row r="6" spans="1:42">
      <c r="A6" s="102" t="s">
        <v>61</v>
      </c>
      <c r="B6" s="40" t="s">
        <v>9</v>
      </c>
      <c r="C6">
        <v>0</v>
      </c>
      <c r="D6" s="40" t="s">
        <v>9</v>
      </c>
      <c r="E6" s="31">
        <v>0</v>
      </c>
      <c r="F6" s="128">
        <f t="shared" si="0"/>
        <v>0</v>
      </c>
      <c r="G6" s="139">
        <v>0</v>
      </c>
      <c r="H6" s="139">
        <v>2</v>
      </c>
      <c r="I6" s="139">
        <v>0</v>
      </c>
      <c r="J6" s="139">
        <v>2</v>
      </c>
      <c r="K6" s="140">
        <v>0</v>
      </c>
      <c r="L6" t="s">
        <v>8</v>
      </c>
      <c r="M6" s="31">
        <f t="shared" si="1"/>
        <v>0</v>
      </c>
      <c r="N6" s="242">
        <v>0</v>
      </c>
      <c r="O6" s="41">
        <f t="shared" si="2"/>
        <v>0</v>
      </c>
      <c r="P6" s="41"/>
      <c r="Q6" s="108" t="s">
        <v>49</v>
      </c>
      <c r="R6" s="179" t="s">
        <v>92</v>
      </c>
      <c r="S6" s="186" t="str">
        <f t="shared" ref="S6:S17" si="15">CONCATENATE(Q6,R6,Y6)</f>
        <v>BPD2009</v>
      </c>
      <c r="T6"/>
      <c r="U6"/>
      <c r="V6"/>
      <c r="W6"/>
      <c r="X6"/>
      <c r="Y6" s="85">
        <v>2009</v>
      </c>
      <c r="Z6" s="2">
        <f t="shared" si="3"/>
        <v>0</v>
      </c>
      <c r="AA6" s="2">
        <f t="shared" si="4"/>
        <v>0</v>
      </c>
      <c r="AB6" s="2">
        <f t="shared" si="5"/>
        <v>0</v>
      </c>
      <c r="AC6" s="2">
        <f t="shared" si="6"/>
        <v>0</v>
      </c>
      <c r="AD6" s="2">
        <f t="shared" si="7"/>
        <v>0</v>
      </c>
      <c r="AE6" s="3">
        <f t="shared" si="8"/>
        <v>0</v>
      </c>
      <c r="AF6" s="73"/>
      <c r="AJ6" s="80">
        <f t="shared" si="9"/>
        <v>0</v>
      </c>
      <c r="AK6" s="10">
        <f t="shared" si="10"/>
        <v>0</v>
      </c>
      <c r="AL6" s="10">
        <f t="shared" si="11"/>
        <v>0</v>
      </c>
      <c r="AM6" s="10">
        <f t="shared" si="12"/>
        <v>0</v>
      </c>
      <c r="AN6" s="10">
        <f t="shared" si="13"/>
        <v>0</v>
      </c>
      <c r="AO6" s="2">
        <f t="shared" si="14"/>
        <v>0</v>
      </c>
      <c r="AP6" s="73"/>
    </row>
    <row r="7" spans="1:42" s="38" customFormat="1">
      <c r="A7" s="102" t="s">
        <v>62</v>
      </c>
      <c r="B7" s="40" t="s">
        <v>66</v>
      </c>
      <c r="C7">
        <v>0.5</v>
      </c>
      <c r="D7" s="40" t="s">
        <v>67</v>
      </c>
      <c r="E7" s="31">
        <v>55</v>
      </c>
      <c r="F7" s="128">
        <f t="shared" si="0"/>
        <v>27.5</v>
      </c>
      <c r="G7" s="139">
        <v>0</v>
      </c>
      <c r="H7" s="139">
        <v>8</v>
      </c>
      <c r="I7" s="139">
        <v>0</v>
      </c>
      <c r="J7" s="139">
        <v>1</v>
      </c>
      <c r="K7" s="140">
        <v>0</v>
      </c>
      <c r="L7" t="s">
        <v>8</v>
      </c>
      <c r="M7" s="31">
        <f t="shared" si="1"/>
        <v>0</v>
      </c>
      <c r="N7" s="242">
        <v>0</v>
      </c>
      <c r="O7" s="41">
        <f t="shared" si="2"/>
        <v>0</v>
      </c>
      <c r="P7" s="41"/>
      <c r="Q7" s="108" t="s">
        <v>49</v>
      </c>
      <c r="R7" s="179" t="s">
        <v>92</v>
      </c>
      <c r="S7" s="186" t="str">
        <f t="shared" si="15"/>
        <v>BPD2009</v>
      </c>
      <c r="T7"/>
      <c r="U7"/>
      <c r="V7"/>
      <c r="W7"/>
      <c r="X7"/>
      <c r="Y7" s="85">
        <v>2009</v>
      </c>
      <c r="Z7" s="2">
        <f t="shared" si="3"/>
        <v>0</v>
      </c>
      <c r="AA7" s="2">
        <f t="shared" si="4"/>
        <v>0</v>
      </c>
      <c r="AB7" s="2">
        <f t="shared" si="5"/>
        <v>0</v>
      </c>
      <c r="AC7" s="2">
        <f t="shared" si="6"/>
        <v>0</v>
      </c>
      <c r="AD7" s="2">
        <f t="shared" si="7"/>
        <v>0</v>
      </c>
      <c r="AE7" s="3">
        <f t="shared" si="8"/>
        <v>0</v>
      </c>
      <c r="AF7" s="73"/>
      <c r="AG7"/>
      <c r="AH7"/>
      <c r="AI7" s="31"/>
      <c r="AJ7" s="80">
        <f t="shared" si="9"/>
        <v>0</v>
      </c>
      <c r="AK7" s="10">
        <f t="shared" si="10"/>
        <v>0</v>
      </c>
      <c r="AL7" s="10">
        <f t="shared" si="11"/>
        <v>0</v>
      </c>
      <c r="AM7" s="10">
        <f t="shared" si="12"/>
        <v>0</v>
      </c>
      <c r="AN7" s="10">
        <f t="shared" si="13"/>
        <v>0</v>
      </c>
      <c r="AO7" s="2">
        <f t="shared" si="14"/>
        <v>0</v>
      </c>
      <c r="AP7" s="39"/>
    </row>
    <row r="8" spans="1:42">
      <c r="A8" s="102" t="s">
        <v>71</v>
      </c>
      <c r="B8" s="40" t="s">
        <v>9</v>
      </c>
      <c r="C8">
        <v>1</v>
      </c>
      <c r="D8" s="40" t="s">
        <v>65</v>
      </c>
      <c r="E8" s="31">
        <v>1500</v>
      </c>
      <c r="F8" s="128">
        <f t="shared" si="0"/>
        <v>1500</v>
      </c>
      <c r="G8" s="139">
        <v>0</v>
      </c>
      <c r="H8" s="139">
        <v>0</v>
      </c>
      <c r="I8" s="139">
        <v>0</v>
      </c>
      <c r="J8" s="139">
        <v>2</v>
      </c>
      <c r="K8" s="140">
        <v>0</v>
      </c>
      <c r="L8" t="s">
        <v>8</v>
      </c>
      <c r="M8" s="31">
        <f t="shared" si="1"/>
        <v>0</v>
      </c>
      <c r="N8" s="242">
        <v>0</v>
      </c>
      <c r="O8" s="41">
        <f t="shared" si="2"/>
        <v>0</v>
      </c>
      <c r="P8" s="41"/>
      <c r="Q8" s="108" t="s">
        <v>49</v>
      </c>
      <c r="R8" s="179" t="s">
        <v>92</v>
      </c>
      <c r="S8" s="186" t="str">
        <f t="shared" si="15"/>
        <v>BPD2009</v>
      </c>
      <c r="T8"/>
      <c r="U8"/>
      <c r="V8"/>
      <c r="W8"/>
      <c r="X8"/>
      <c r="Y8" s="85">
        <v>2009</v>
      </c>
      <c r="Z8" s="2">
        <f t="shared" si="3"/>
        <v>0</v>
      </c>
      <c r="AA8" s="2">
        <f t="shared" si="4"/>
        <v>0</v>
      </c>
      <c r="AB8" s="2">
        <f t="shared" si="5"/>
        <v>0</v>
      </c>
      <c r="AC8" s="2">
        <f t="shared" si="6"/>
        <v>0</v>
      </c>
      <c r="AD8" s="2">
        <f t="shared" si="7"/>
        <v>0</v>
      </c>
      <c r="AE8" s="3">
        <f t="shared" si="8"/>
        <v>0</v>
      </c>
      <c r="AF8" s="73"/>
      <c r="AJ8" s="80">
        <f t="shared" si="9"/>
        <v>0</v>
      </c>
      <c r="AK8" s="10">
        <f t="shared" si="10"/>
        <v>0</v>
      </c>
      <c r="AL8" s="10">
        <f t="shared" si="11"/>
        <v>0</v>
      </c>
      <c r="AM8" s="10">
        <f t="shared" si="12"/>
        <v>0</v>
      </c>
      <c r="AN8" s="10">
        <f t="shared" si="13"/>
        <v>0</v>
      </c>
      <c r="AO8" s="2">
        <f t="shared" si="14"/>
        <v>0</v>
      </c>
      <c r="AP8" s="73"/>
    </row>
    <row r="9" spans="1:42">
      <c r="A9" s="103" t="s">
        <v>110</v>
      </c>
      <c r="B9" s="40" t="s">
        <v>111</v>
      </c>
      <c r="C9">
        <v>1</v>
      </c>
      <c r="D9" s="40" t="s">
        <v>65</v>
      </c>
      <c r="E9" s="31">
        <v>21000</v>
      </c>
      <c r="F9" s="128">
        <f t="shared" ref="F9:F16" si="16">E9*C9</f>
        <v>21000</v>
      </c>
      <c r="G9" s="139">
        <v>0</v>
      </c>
      <c r="H9" s="139">
        <v>0</v>
      </c>
      <c r="I9" s="139">
        <v>0</v>
      </c>
      <c r="J9" s="243">
        <v>8</v>
      </c>
      <c r="K9" s="140">
        <v>0</v>
      </c>
      <c r="L9" t="s">
        <v>8</v>
      </c>
      <c r="M9" s="31">
        <f t="shared" ref="M9:M14" si="17">((Shop*G9)+(M_Tech*H9)+(CMM*I9)+(ENG*J9)+(DES*K9))*N9</f>
        <v>1200</v>
      </c>
      <c r="N9">
        <v>1</v>
      </c>
      <c r="O9" s="41">
        <f t="shared" ref="O9:O14" si="18">M9+(N9*F9)</f>
        <v>22200</v>
      </c>
      <c r="P9" s="41"/>
      <c r="Q9" s="108" t="s">
        <v>49</v>
      </c>
      <c r="R9" s="179" t="s">
        <v>92</v>
      </c>
      <c r="S9" s="186" t="str">
        <f t="shared" si="15"/>
        <v>BPD2009</v>
      </c>
      <c r="T9"/>
      <c r="U9"/>
      <c r="V9"/>
      <c r="W9"/>
      <c r="X9"/>
      <c r="Y9" s="85">
        <v>2009</v>
      </c>
      <c r="Z9" s="2">
        <f t="shared" si="3"/>
        <v>0</v>
      </c>
      <c r="AA9" s="2">
        <f t="shared" si="4"/>
        <v>0</v>
      </c>
      <c r="AB9" s="2">
        <f t="shared" si="5"/>
        <v>0</v>
      </c>
      <c r="AC9" s="2">
        <f t="shared" si="6"/>
        <v>8</v>
      </c>
      <c r="AD9" s="2">
        <f t="shared" si="7"/>
        <v>0</v>
      </c>
      <c r="AE9" s="3">
        <f t="shared" ref="AE9:AE14" si="19">IF($Q9="B", (F9*$N9),0)</f>
        <v>21000</v>
      </c>
      <c r="AF9" s="73"/>
      <c r="AJ9" s="80">
        <f t="shared" si="9"/>
        <v>0</v>
      </c>
      <c r="AK9" s="10">
        <f t="shared" si="10"/>
        <v>0</v>
      </c>
      <c r="AL9" s="10">
        <f t="shared" si="11"/>
        <v>0</v>
      </c>
      <c r="AM9" s="10">
        <f t="shared" si="12"/>
        <v>0</v>
      </c>
      <c r="AN9" s="10">
        <f t="shared" si="13"/>
        <v>0</v>
      </c>
      <c r="AO9" s="2">
        <f t="shared" ref="AO9:AO14" si="20">IF($Q9="C", (F9*$N9),0)</f>
        <v>0</v>
      </c>
      <c r="AP9" s="73"/>
    </row>
    <row r="10" spans="1:42" s="242" customFormat="1">
      <c r="A10" s="244" t="s">
        <v>302</v>
      </c>
      <c r="B10" s="242" t="s">
        <v>9</v>
      </c>
      <c r="C10" s="242">
        <v>0</v>
      </c>
      <c r="D10" s="242" t="s">
        <v>9</v>
      </c>
      <c r="E10" s="245">
        <f>0.2*E9</f>
        <v>4200</v>
      </c>
      <c r="F10" s="246">
        <f t="shared" ref="F10" si="21">E10*C10</f>
        <v>0</v>
      </c>
      <c r="G10" s="243">
        <v>0</v>
      </c>
      <c r="H10" s="243">
        <v>0</v>
      </c>
      <c r="I10" s="243">
        <v>0</v>
      </c>
      <c r="J10" s="243">
        <v>0</v>
      </c>
      <c r="K10" s="247">
        <v>0</v>
      </c>
      <c r="L10" s="242" t="s">
        <v>8</v>
      </c>
      <c r="M10" s="245">
        <f t="shared" ref="M10" si="22">((Shop*G10)+(M_Tech*H10)+(CMM*I10)+(ENG*J10)+(DES*K10))*N10</f>
        <v>0</v>
      </c>
      <c r="N10" s="242">
        <v>1</v>
      </c>
      <c r="O10" s="248">
        <f t="shared" ref="O10" si="23">M10+(N10*F10)</f>
        <v>0</v>
      </c>
      <c r="P10" s="248"/>
      <c r="Q10" s="249" t="s">
        <v>50</v>
      </c>
      <c r="R10" s="250" t="s">
        <v>92</v>
      </c>
      <c r="S10" s="251" t="str">
        <f t="shared" ref="S10" si="24">CONCATENATE(Q10,R10,Y10)</f>
        <v>CPD2009</v>
      </c>
      <c r="Y10" s="252">
        <v>2009</v>
      </c>
      <c r="Z10" s="253">
        <f t="shared" ref="Z10" si="25">IF($Q10="B", (G10*$N10),0)</f>
        <v>0</v>
      </c>
      <c r="AA10" s="253">
        <f t="shared" ref="AA10" si="26">IF($Q10="B", (H10*$N10),0)</f>
        <v>0</v>
      </c>
      <c r="AB10" s="253">
        <f t="shared" ref="AB10" si="27">IF($Q10="B", (I10*$N10),0)</f>
        <v>0</v>
      </c>
      <c r="AC10" s="253">
        <f t="shared" ref="AC10" si="28">IF($Q10="B", (J10*$N10),0)</f>
        <v>0</v>
      </c>
      <c r="AD10" s="253">
        <f t="shared" ref="AD10" si="29">IF($Q10="B", (K10*$N10),0)</f>
        <v>0</v>
      </c>
      <c r="AE10" s="254">
        <f t="shared" ref="AE10" si="30">IF($Q10="B", (F10*$N10),0)</f>
        <v>0</v>
      </c>
      <c r="AF10" s="255"/>
      <c r="AI10" s="245"/>
      <c r="AJ10" s="256">
        <f t="shared" ref="AJ10" si="31">IF($Q10="C", (G10*$N10),0)</f>
        <v>0</v>
      </c>
      <c r="AK10" s="257">
        <f t="shared" ref="AK10" si="32">IF($Q10="C", (H10*$N10),0)</f>
        <v>0</v>
      </c>
      <c r="AL10" s="257">
        <f t="shared" ref="AL10" si="33">IF($Q10="C", (I10*$N10),0)</f>
        <v>0</v>
      </c>
      <c r="AM10" s="257">
        <f t="shared" ref="AM10" si="34">IF($Q10="C", (J10*$N10),0)</f>
        <v>0</v>
      </c>
      <c r="AN10" s="257">
        <f t="shared" ref="AN10" si="35">IF($Q10="C", (K10*$N10),0)</f>
        <v>0</v>
      </c>
      <c r="AO10" s="253">
        <f t="shared" ref="AO10" si="36">IF($Q10="C", (F10*$N10),0)</f>
        <v>0</v>
      </c>
      <c r="AP10" s="255"/>
    </row>
    <row r="11" spans="1:42">
      <c r="A11" s="102" t="s">
        <v>61</v>
      </c>
      <c r="B11" s="40" t="s">
        <v>9</v>
      </c>
      <c r="C11">
        <v>0</v>
      </c>
      <c r="D11" s="40" t="s">
        <v>9</v>
      </c>
      <c r="E11" s="31">
        <v>0</v>
      </c>
      <c r="F11" s="128">
        <f t="shared" si="16"/>
        <v>0</v>
      </c>
      <c r="G11" s="139">
        <v>0</v>
      </c>
      <c r="H11" s="139">
        <v>2</v>
      </c>
      <c r="I11" s="139">
        <v>0</v>
      </c>
      <c r="J11" s="139">
        <v>0</v>
      </c>
      <c r="K11" s="140">
        <v>0</v>
      </c>
      <c r="L11" t="s">
        <v>8</v>
      </c>
      <c r="M11" s="31">
        <f t="shared" si="17"/>
        <v>234</v>
      </c>
      <c r="N11">
        <v>1</v>
      </c>
      <c r="O11" s="41">
        <f t="shared" si="18"/>
        <v>234</v>
      </c>
      <c r="P11" s="41"/>
      <c r="Q11" s="108" t="s">
        <v>49</v>
      </c>
      <c r="R11" s="179" t="s">
        <v>92</v>
      </c>
      <c r="S11" s="186" t="str">
        <f t="shared" si="15"/>
        <v>BPD2009</v>
      </c>
      <c r="T11"/>
      <c r="U11"/>
      <c r="V11"/>
      <c r="W11"/>
      <c r="X11"/>
      <c r="Y11" s="85">
        <v>2009</v>
      </c>
      <c r="Z11" s="2">
        <f t="shared" si="3"/>
        <v>0</v>
      </c>
      <c r="AA11" s="2">
        <f t="shared" si="4"/>
        <v>2</v>
      </c>
      <c r="AB11" s="2">
        <f t="shared" si="5"/>
        <v>0</v>
      </c>
      <c r="AC11" s="2">
        <f t="shared" si="6"/>
        <v>0</v>
      </c>
      <c r="AD11" s="2">
        <f t="shared" si="7"/>
        <v>0</v>
      </c>
      <c r="AE11" s="3">
        <f t="shared" si="19"/>
        <v>0</v>
      </c>
      <c r="AF11" s="73"/>
      <c r="AJ11" s="80">
        <f t="shared" si="9"/>
        <v>0</v>
      </c>
      <c r="AK11" s="10">
        <f t="shared" si="10"/>
        <v>0</v>
      </c>
      <c r="AL11" s="10">
        <f t="shared" si="11"/>
        <v>0</v>
      </c>
      <c r="AM11" s="10">
        <f t="shared" si="12"/>
        <v>0</v>
      </c>
      <c r="AN11" s="10">
        <f t="shared" si="13"/>
        <v>0</v>
      </c>
      <c r="AO11" s="2">
        <f t="shared" si="20"/>
        <v>0</v>
      </c>
      <c r="AP11" s="73"/>
    </row>
    <row r="12" spans="1:42" s="38" customFormat="1">
      <c r="A12" s="102" t="s">
        <v>62</v>
      </c>
      <c r="B12" s="40" t="s">
        <v>66</v>
      </c>
      <c r="C12">
        <v>0.5</v>
      </c>
      <c r="D12" s="40" t="s">
        <v>67</v>
      </c>
      <c r="E12" s="31">
        <v>55</v>
      </c>
      <c r="F12" s="128">
        <f t="shared" si="16"/>
        <v>27.5</v>
      </c>
      <c r="G12" s="139">
        <v>0</v>
      </c>
      <c r="H12" s="139">
        <v>8</v>
      </c>
      <c r="I12" s="139">
        <v>0</v>
      </c>
      <c r="J12" s="139">
        <v>1</v>
      </c>
      <c r="K12" s="140">
        <v>0</v>
      </c>
      <c r="L12" t="s">
        <v>8</v>
      </c>
      <c r="M12" s="31">
        <f t="shared" si="17"/>
        <v>3258</v>
      </c>
      <c r="N12">
        <v>3</v>
      </c>
      <c r="O12" s="41">
        <f>M12+(N12*F12)</f>
        <v>3340.5</v>
      </c>
      <c r="P12" s="41"/>
      <c r="Q12" s="108" t="s">
        <v>49</v>
      </c>
      <c r="R12" s="179" t="s">
        <v>92</v>
      </c>
      <c r="S12" s="186" t="str">
        <f t="shared" si="15"/>
        <v>BPD2009</v>
      </c>
      <c r="T12"/>
      <c r="U12"/>
      <c r="V12"/>
      <c r="W12"/>
      <c r="X12"/>
      <c r="Y12" s="85">
        <v>2009</v>
      </c>
      <c r="Z12" s="2">
        <f t="shared" si="3"/>
        <v>0</v>
      </c>
      <c r="AA12" s="2">
        <f t="shared" si="4"/>
        <v>24</v>
      </c>
      <c r="AB12" s="2">
        <f t="shared" si="5"/>
        <v>0</v>
      </c>
      <c r="AC12" s="2">
        <f t="shared" si="6"/>
        <v>3</v>
      </c>
      <c r="AD12" s="2">
        <f t="shared" si="7"/>
        <v>0</v>
      </c>
      <c r="AE12" s="3">
        <f t="shared" si="19"/>
        <v>82.5</v>
      </c>
      <c r="AF12" s="73"/>
      <c r="AG12"/>
      <c r="AH12"/>
      <c r="AI12" s="31"/>
      <c r="AJ12" s="80">
        <f t="shared" si="9"/>
        <v>0</v>
      </c>
      <c r="AK12" s="10">
        <f t="shared" si="10"/>
        <v>0</v>
      </c>
      <c r="AL12" s="10">
        <f t="shared" si="11"/>
        <v>0</v>
      </c>
      <c r="AM12" s="10">
        <f t="shared" si="12"/>
        <v>0</v>
      </c>
      <c r="AN12" s="10">
        <f t="shared" si="13"/>
        <v>0</v>
      </c>
      <c r="AO12" s="2">
        <f t="shared" si="20"/>
        <v>0</v>
      </c>
      <c r="AP12" s="39"/>
    </row>
    <row r="13" spans="1:42">
      <c r="A13" s="102" t="s">
        <v>63</v>
      </c>
      <c r="B13" s="40" t="s">
        <v>9</v>
      </c>
      <c r="C13">
        <v>1</v>
      </c>
      <c r="D13" s="40" t="s">
        <v>65</v>
      </c>
      <c r="E13" s="31">
        <v>1500</v>
      </c>
      <c r="F13" s="128">
        <f t="shared" si="16"/>
        <v>1500</v>
      </c>
      <c r="G13" s="139">
        <v>0</v>
      </c>
      <c r="H13" s="139">
        <v>0</v>
      </c>
      <c r="I13" s="139">
        <v>0</v>
      </c>
      <c r="J13" s="243">
        <v>8</v>
      </c>
      <c r="K13" s="140">
        <v>0</v>
      </c>
      <c r="L13" t="s">
        <v>8</v>
      </c>
      <c r="M13" s="31">
        <f t="shared" si="17"/>
        <v>1200</v>
      </c>
      <c r="N13">
        <v>1</v>
      </c>
      <c r="O13" s="41">
        <f t="shared" si="18"/>
        <v>2700</v>
      </c>
      <c r="P13" s="41"/>
      <c r="Q13" s="108" t="s">
        <v>49</v>
      </c>
      <c r="R13" s="179" t="s">
        <v>92</v>
      </c>
      <c r="S13" s="186" t="str">
        <f t="shared" si="15"/>
        <v>BPD2009</v>
      </c>
      <c r="T13"/>
      <c r="U13"/>
      <c r="V13"/>
      <c r="W13"/>
      <c r="X13"/>
      <c r="Y13" s="85">
        <v>2009</v>
      </c>
      <c r="Z13" s="2">
        <f t="shared" si="3"/>
        <v>0</v>
      </c>
      <c r="AA13" s="2">
        <f t="shared" si="4"/>
        <v>0</v>
      </c>
      <c r="AB13" s="2">
        <f t="shared" si="5"/>
        <v>0</v>
      </c>
      <c r="AC13" s="2">
        <f t="shared" si="6"/>
        <v>8</v>
      </c>
      <c r="AD13" s="2">
        <f t="shared" si="7"/>
        <v>0</v>
      </c>
      <c r="AE13" s="3">
        <f t="shared" si="19"/>
        <v>1500</v>
      </c>
      <c r="AF13" s="73"/>
      <c r="AJ13" s="80">
        <f t="shared" si="9"/>
        <v>0</v>
      </c>
      <c r="AK13" s="10">
        <f t="shared" si="10"/>
        <v>0</v>
      </c>
      <c r="AL13" s="10">
        <f t="shared" si="11"/>
        <v>0</v>
      </c>
      <c r="AM13" s="10">
        <f t="shared" si="12"/>
        <v>0</v>
      </c>
      <c r="AN13" s="10">
        <f t="shared" si="13"/>
        <v>0</v>
      </c>
      <c r="AO13" s="2">
        <f t="shared" si="20"/>
        <v>0</v>
      </c>
      <c r="AP13" s="73"/>
    </row>
    <row r="14" spans="1:42">
      <c r="A14" s="103" t="s">
        <v>117</v>
      </c>
      <c r="B14" s="40" t="s">
        <v>118</v>
      </c>
      <c r="C14">
        <v>2</v>
      </c>
      <c r="D14" s="40" t="s">
        <v>119</v>
      </c>
      <c r="E14" s="31">
        <v>600</v>
      </c>
      <c r="F14" s="128">
        <f t="shared" si="16"/>
        <v>1200</v>
      </c>
      <c r="G14" s="139">
        <v>0</v>
      </c>
      <c r="H14" s="139">
        <v>0</v>
      </c>
      <c r="I14" s="139">
        <v>0</v>
      </c>
      <c r="J14" s="243">
        <v>8</v>
      </c>
      <c r="K14" s="140">
        <v>0</v>
      </c>
      <c r="L14" t="s">
        <v>8</v>
      </c>
      <c r="M14" s="31">
        <f t="shared" si="17"/>
        <v>1200</v>
      </c>
      <c r="N14">
        <v>1</v>
      </c>
      <c r="O14" s="41">
        <f t="shared" si="18"/>
        <v>2400</v>
      </c>
      <c r="P14" s="41"/>
      <c r="Q14" s="108" t="s">
        <v>49</v>
      </c>
      <c r="R14" s="179" t="s">
        <v>92</v>
      </c>
      <c r="S14" s="186" t="str">
        <f t="shared" ref="S14" si="37">CONCATENATE(Q14,R14,Y14)</f>
        <v>BPD2009</v>
      </c>
      <c r="T14"/>
      <c r="U14"/>
      <c r="V14"/>
      <c r="W14"/>
      <c r="X14"/>
      <c r="Y14" s="85">
        <v>2009</v>
      </c>
      <c r="Z14" s="2">
        <f t="shared" si="3"/>
        <v>0</v>
      </c>
      <c r="AA14" s="2">
        <f t="shared" si="4"/>
        <v>0</v>
      </c>
      <c r="AB14" s="2">
        <f t="shared" si="5"/>
        <v>0</v>
      </c>
      <c r="AC14" s="2">
        <f t="shared" si="6"/>
        <v>8</v>
      </c>
      <c r="AD14" s="2">
        <f t="shared" si="7"/>
        <v>0</v>
      </c>
      <c r="AE14" s="3">
        <f t="shared" si="19"/>
        <v>1200</v>
      </c>
      <c r="AF14" s="73"/>
      <c r="AJ14" s="80">
        <f t="shared" si="9"/>
        <v>0</v>
      </c>
      <c r="AK14" s="10">
        <f t="shared" si="10"/>
        <v>0</v>
      </c>
      <c r="AL14" s="10">
        <f t="shared" si="11"/>
        <v>0</v>
      </c>
      <c r="AM14" s="10">
        <f t="shared" si="12"/>
        <v>0</v>
      </c>
      <c r="AN14" s="10">
        <f t="shared" si="13"/>
        <v>0</v>
      </c>
      <c r="AO14" s="2">
        <f t="shared" si="20"/>
        <v>0</v>
      </c>
      <c r="AP14" s="73"/>
    </row>
    <row r="15" spans="1:42">
      <c r="A15" s="103" t="s">
        <v>104</v>
      </c>
      <c r="B15" s="40" t="s">
        <v>83</v>
      </c>
      <c r="C15">
        <v>1</v>
      </c>
      <c r="D15" s="40" t="s">
        <v>65</v>
      </c>
      <c r="E15" s="31">
        <v>500</v>
      </c>
      <c r="F15" s="128">
        <f t="shared" ref="F15" si="38">E15*C15</f>
        <v>500</v>
      </c>
      <c r="G15" s="139">
        <v>0</v>
      </c>
      <c r="H15" s="139">
        <v>0</v>
      </c>
      <c r="I15" s="139">
        <v>0</v>
      </c>
      <c r="J15" s="139">
        <v>0.5</v>
      </c>
      <c r="K15" s="140">
        <v>0</v>
      </c>
      <c r="L15" t="s">
        <v>8</v>
      </c>
      <c r="M15" s="31">
        <f t="shared" ref="M15" si="39">((Shop*G15)+(M_Tech*H15)+(CMM*I15)+(ENG*J15)+(DES*K15))*N15</f>
        <v>0</v>
      </c>
      <c r="N15" s="242">
        <v>0</v>
      </c>
      <c r="O15" s="41">
        <f t="shared" ref="O15" si="40">M15+(N15*F15)</f>
        <v>0</v>
      </c>
      <c r="P15" s="41"/>
      <c r="Q15" s="108" t="s">
        <v>49</v>
      </c>
      <c r="R15" s="179" t="s">
        <v>92</v>
      </c>
      <c r="S15" s="186" t="str">
        <f t="shared" si="15"/>
        <v>BPD2009</v>
      </c>
      <c r="T15"/>
      <c r="U15"/>
      <c r="V15"/>
      <c r="W15"/>
      <c r="X15"/>
      <c r="Y15" s="85">
        <v>2009</v>
      </c>
      <c r="Z15" s="2">
        <f t="shared" ref="Z15" si="41">IF($Q15="B", (G15*$N15),0)</f>
        <v>0</v>
      </c>
      <c r="AA15" s="2">
        <f t="shared" ref="AA15" si="42">IF($Q15="B", (H15*$N15),0)</f>
        <v>0</v>
      </c>
      <c r="AB15" s="2">
        <f t="shared" ref="AB15" si="43">IF($Q15="B", (I15*$N15),0)</f>
        <v>0</v>
      </c>
      <c r="AC15" s="2">
        <f t="shared" ref="AC15" si="44">IF($Q15="B", (J15*$N15),0)</f>
        <v>0</v>
      </c>
      <c r="AD15" s="2">
        <f t="shared" ref="AD15" si="45">IF($Q15="B", (K15*$N15),0)</f>
        <v>0</v>
      </c>
      <c r="AE15" s="3">
        <f t="shared" ref="AE15" si="46">IF($Q15="B", (F15*$N15),0)</f>
        <v>0</v>
      </c>
      <c r="AF15" s="73"/>
      <c r="AJ15" s="80">
        <f t="shared" ref="AJ15" si="47">IF($Q15="C", (G15*$N15),0)</f>
        <v>0</v>
      </c>
      <c r="AK15" s="10">
        <f t="shared" ref="AK15" si="48">IF($Q15="C", (H15*$N15),0)</f>
        <v>0</v>
      </c>
      <c r="AL15" s="10">
        <f t="shared" ref="AL15" si="49">IF($Q15="C", (I15*$N15),0)</f>
        <v>0</v>
      </c>
      <c r="AM15" s="10">
        <f t="shared" ref="AM15" si="50">IF($Q15="C", (J15*$N15),0)</f>
        <v>0</v>
      </c>
      <c r="AN15" s="10">
        <f t="shared" ref="AN15" si="51">IF($Q15="C", (K15*$N15),0)</f>
        <v>0</v>
      </c>
      <c r="AO15" s="2">
        <f t="shared" ref="AO15" si="52">IF($Q15="C", (F15*$N15),0)</f>
        <v>0</v>
      </c>
      <c r="AP15" s="73"/>
    </row>
    <row r="16" spans="1:42">
      <c r="A16" s="103" t="s">
        <v>316</v>
      </c>
      <c r="B16" s="40" t="s">
        <v>83</v>
      </c>
      <c r="C16">
        <v>1</v>
      </c>
      <c r="D16" s="40" t="s">
        <v>65</v>
      </c>
      <c r="E16" s="31">
        <v>500</v>
      </c>
      <c r="F16" s="128">
        <f t="shared" si="16"/>
        <v>500</v>
      </c>
      <c r="G16" s="139">
        <v>0</v>
      </c>
      <c r="H16" s="139">
        <v>0</v>
      </c>
      <c r="I16" s="139">
        <v>0</v>
      </c>
      <c r="J16" s="139">
        <v>1</v>
      </c>
      <c r="K16" s="140">
        <v>0</v>
      </c>
      <c r="L16" t="s">
        <v>8</v>
      </c>
      <c r="M16" s="31">
        <f t="shared" ref="M16" si="53">((Shop*G16)+(M_Tech*H16)+(CMM*I16)+(ENG*J16)+(DES*K16))*N16</f>
        <v>150</v>
      </c>
      <c r="N16" s="242">
        <v>1</v>
      </c>
      <c r="O16" s="41">
        <f t="shared" ref="O16" si="54">M16+(N16*F16)</f>
        <v>650</v>
      </c>
      <c r="P16" s="41"/>
      <c r="Q16" s="108" t="s">
        <v>49</v>
      </c>
      <c r="R16" s="179" t="s">
        <v>92</v>
      </c>
      <c r="S16" s="186" t="str">
        <f t="shared" si="15"/>
        <v>BPD2009</v>
      </c>
      <c r="T16"/>
      <c r="U16"/>
      <c r="V16"/>
      <c r="W16"/>
      <c r="X16"/>
      <c r="Y16" s="85">
        <v>2009</v>
      </c>
      <c r="Z16" s="2">
        <f t="shared" ref="Z16" si="55">IF($Q16="B", (G16*$N16),0)</f>
        <v>0</v>
      </c>
      <c r="AA16" s="2">
        <f t="shared" ref="AA16" si="56">IF($Q16="B", (H16*$N16),0)</f>
        <v>0</v>
      </c>
      <c r="AB16" s="2">
        <f t="shared" ref="AB16" si="57">IF($Q16="B", (I16*$N16),0)</f>
        <v>0</v>
      </c>
      <c r="AC16" s="2">
        <f t="shared" ref="AC16" si="58">IF($Q16="B", (J16*$N16),0)</f>
        <v>1</v>
      </c>
      <c r="AD16" s="2">
        <f t="shared" ref="AD16" si="59">IF($Q16="B", (K16*$N16),0)</f>
        <v>0</v>
      </c>
      <c r="AE16" s="3">
        <f t="shared" ref="AE16" si="60">IF($Q16="B", (F16*$N16),0)</f>
        <v>500</v>
      </c>
      <c r="AF16" s="73"/>
      <c r="AJ16" s="80">
        <f t="shared" ref="AJ16" si="61">IF($Q16="C", (G16*$N16),0)</f>
        <v>0</v>
      </c>
      <c r="AK16" s="10">
        <f t="shared" ref="AK16" si="62">IF($Q16="C", (H16*$N16),0)</f>
        <v>0</v>
      </c>
      <c r="AL16" s="10">
        <f t="shared" ref="AL16" si="63">IF($Q16="C", (I16*$N16),0)</f>
        <v>0</v>
      </c>
      <c r="AM16" s="10">
        <f t="shared" ref="AM16" si="64">IF($Q16="C", (J16*$N16),0)</f>
        <v>0</v>
      </c>
      <c r="AN16" s="10">
        <f t="shared" ref="AN16" si="65">IF($Q16="C", (K16*$N16),0)</f>
        <v>0</v>
      </c>
      <c r="AO16" s="2">
        <f t="shared" ref="AO16" si="66">IF($Q16="C", (F16*$N16),0)</f>
        <v>0</v>
      </c>
      <c r="AP16" s="73"/>
    </row>
    <row r="17" spans="1:42" s="38" customFormat="1">
      <c r="A17" s="103" t="s">
        <v>69</v>
      </c>
      <c r="B17" s="40" t="s">
        <v>66</v>
      </c>
      <c r="C17">
        <v>1</v>
      </c>
      <c r="D17" s="40" t="s">
        <v>65</v>
      </c>
      <c r="E17" s="31">
        <v>5000</v>
      </c>
      <c r="F17" s="128">
        <f t="shared" ref="F17" si="67">E17*C17</f>
        <v>5000</v>
      </c>
      <c r="G17" s="139">
        <v>0</v>
      </c>
      <c r="H17" s="139">
        <v>0</v>
      </c>
      <c r="I17" s="139">
        <v>0</v>
      </c>
      <c r="J17" s="243">
        <v>4</v>
      </c>
      <c r="K17" s="140">
        <v>0</v>
      </c>
      <c r="L17" t="s">
        <v>8</v>
      </c>
      <c r="M17" s="31">
        <f t="shared" ref="M17" si="68">((Shop*G17)+(M_Tech*H17)+(CMM*I17)+(ENG*J17)+(DES*K17))*N17</f>
        <v>600</v>
      </c>
      <c r="N17">
        <v>1</v>
      </c>
      <c r="O17" s="41">
        <f t="shared" ref="O17" si="69">M17+(N17*F17)</f>
        <v>5600</v>
      </c>
      <c r="P17" s="41"/>
      <c r="Q17" s="108" t="s">
        <v>49</v>
      </c>
      <c r="R17" s="179" t="s">
        <v>92</v>
      </c>
      <c r="S17" s="186" t="str">
        <f t="shared" si="15"/>
        <v>BPD2009</v>
      </c>
      <c r="T17"/>
      <c r="U17"/>
      <c r="V17"/>
      <c r="W17"/>
      <c r="X17"/>
      <c r="Y17" s="85">
        <v>2009</v>
      </c>
      <c r="Z17" s="2">
        <f t="shared" si="3"/>
        <v>0</v>
      </c>
      <c r="AA17" s="2">
        <f t="shared" si="4"/>
        <v>0</v>
      </c>
      <c r="AB17" s="2">
        <f t="shared" si="5"/>
        <v>0</v>
      </c>
      <c r="AC17" s="2">
        <f t="shared" si="6"/>
        <v>4</v>
      </c>
      <c r="AD17" s="2">
        <f t="shared" si="7"/>
        <v>0</v>
      </c>
      <c r="AE17" s="3">
        <f t="shared" ref="AE17" si="70">IF($Q17="B", (F17*$N17),0)</f>
        <v>5000</v>
      </c>
      <c r="AF17" s="73"/>
      <c r="AG17" t="s">
        <v>84</v>
      </c>
      <c r="AH17"/>
      <c r="AI17" s="31" t="s">
        <v>85</v>
      </c>
      <c r="AJ17" s="80">
        <f t="shared" si="9"/>
        <v>0</v>
      </c>
      <c r="AK17" s="10">
        <f t="shared" si="10"/>
        <v>0</v>
      </c>
      <c r="AL17" s="10">
        <f t="shared" si="11"/>
        <v>0</v>
      </c>
      <c r="AM17" s="10">
        <f t="shared" si="12"/>
        <v>0</v>
      </c>
      <c r="AN17" s="10">
        <f t="shared" si="13"/>
        <v>0</v>
      </c>
      <c r="AO17" s="2">
        <f t="shared" ref="AO17" si="71">IF($Q17="C", (F17*$N17),0)</f>
        <v>0</v>
      </c>
      <c r="AP17" s="39"/>
    </row>
    <row r="18" spans="1:42">
      <c r="A18" s="43" t="s">
        <v>68</v>
      </c>
      <c r="B18" s="7"/>
      <c r="C18" s="7"/>
      <c r="D18" s="7"/>
      <c r="E18" s="9"/>
      <c r="F18" s="8"/>
      <c r="G18" s="141"/>
      <c r="H18" s="141"/>
      <c r="I18" s="141"/>
      <c r="J18" s="141"/>
      <c r="K18" s="142"/>
      <c r="L18" s="7"/>
      <c r="M18" s="9">
        <f>SUMIF(Q5:Q17,"B",M5:M17)</f>
        <v>7842</v>
      </c>
      <c r="N18" s="273" t="s">
        <v>78</v>
      </c>
      <c r="O18" s="274"/>
      <c r="P18" s="275"/>
      <c r="Q18" s="109"/>
      <c r="R18" s="182"/>
      <c r="S18" s="187"/>
      <c r="T18" s="7"/>
      <c r="U18" s="7"/>
      <c r="V18" s="7"/>
      <c r="W18" s="7"/>
      <c r="X18" s="7"/>
      <c r="Y18" s="86"/>
      <c r="Z18" s="11">
        <f>SUM(Z5:Z17)</f>
        <v>0</v>
      </c>
      <c r="AA18" s="11">
        <f>SUM(AA5:AA17)</f>
        <v>26</v>
      </c>
      <c r="AB18" s="11">
        <f>SUM(AB5:AB17)</f>
        <v>0</v>
      </c>
      <c r="AC18" s="11">
        <f>SUM(AC5:AC17)</f>
        <v>32</v>
      </c>
      <c r="AD18" s="11">
        <f>SUM(AD5:AD17)</f>
        <v>0</v>
      </c>
      <c r="AE18" s="9"/>
      <c r="AF18" s="8">
        <f>SUM(AE5:AE17)</f>
        <v>29282.5</v>
      </c>
      <c r="AG18" s="9">
        <f>(Shop*Z18)+M_Tech*AA18+CMM*AB18+ENG*AC18+DES*AD18+AF18</f>
        <v>37124.5</v>
      </c>
      <c r="AH18" s="9"/>
      <c r="AI18" s="8">
        <f>Shop*AJ18+M_Tech*AK18+CMM*AL18+ENG*AM18+DES*AN18+AP18</f>
        <v>0</v>
      </c>
      <c r="AJ18" s="11">
        <f>SUM(AJ5:AJ17)</f>
        <v>0</v>
      </c>
      <c r="AK18" s="11">
        <f>SUM(AK5:AK17)</f>
        <v>0</v>
      </c>
      <c r="AL18" s="11">
        <f>SUM(AL5:AL17)</f>
        <v>0</v>
      </c>
      <c r="AM18" s="11">
        <f>SUM(AM5:AM17)</f>
        <v>0</v>
      </c>
      <c r="AN18" s="11">
        <f>SUM(AN5:AN17)</f>
        <v>0</v>
      </c>
      <c r="AO18" s="9"/>
      <c r="AP18" s="8">
        <f>SUM(AO5:AO17)</f>
        <v>0</v>
      </c>
    </row>
    <row r="19" spans="1:42">
      <c r="F19" s="128"/>
      <c r="G19" s="139"/>
      <c r="H19" s="139"/>
      <c r="I19" s="139"/>
      <c r="J19" s="139"/>
      <c r="K19" s="140"/>
      <c r="M19" s="31"/>
      <c r="N19"/>
      <c r="O19" s="41"/>
      <c r="P19" s="41"/>
      <c r="Q19" s="87"/>
      <c r="R19" s="180"/>
      <c r="S19" s="192"/>
      <c r="T19"/>
      <c r="U19"/>
      <c r="V19"/>
      <c r="W19"/>
      <c r="X19"/>
      <c r="Y19" s="88"/>
      <c r="Z19" s="74"/>
      <c r="AA19" s="74"/>
      <c r="AB19" s="74"/>
      <c r="AC19" s="74"/>
      <c r="AD19" s="74"/>
      <c r="AE19" s="75"/>
      <c r="AF19" s="76"/>
      <c r="AG19" s="1"/>
      <c r="AH19" s="1"/>
      <c r="AJ19" s="81"/>
      <c r="AK19" s="2"/>
      <c r="AL19" s="2"/>
      <c r="AM19" s="2"/>
      <c r="AN19" s="2"/>
      <c r="AO19" s="2"/>
      <c r="AP19" s="73"/>
    </row>
    <row r="20" spans="1:42" ht="15.75">
      <c r="A20" s="105" t="s">
        <v>296</v>
      </c>
      <c r="F20" s="128"/>
      <c r="G20" s="139"/>
      <c r="H20" s="139"/>
      <c r="I20" s="139"/>
      <c r="J20" s="139"/>
      <c r="K20" s="140"/>
      <c r="M20" s="31"/>
      <c r="N20"/>
      <c r="O20" s="41"/>
      <c r="P20" s="41"/>
      <c r="Q20" s="108"/>
      <c r="R20" s="179"/>
      <c r="S20" s="186"/>
      <c r="T20"/>
      <c r="U20"/>
      <c r="V20"/>
      <c r="W20"/>
      <c r="X20"/>
      <c r="Y20" s="85"/>
      <c r="Z20" s="10"/>
      <c r="AA20" s="10"/>
      <c r="AB20" s="10"/>
      <c r="AC20" s="10"/>
      <c r="AD20" s="10"/>
      <c r="AE20" s="3"/>
      <c r="AF20" s="73"/>
      <c r="AG20" s="2"/>
      <c r="AH20" s="2"/>
      <c r="AJ20" s="81"/>
      <c r="AK20" s="2"/>
      <c r="AL20" s="2"/>
      <c r="AM20" s="2"/>
      <c r="AN20" s="2"/>
      <c r="AO20" s="2"/>
      <c r="AP20" s="73"/>
    </row>
    <row r="21" spans="1:42" ht="15.75">
      <c r="A21" s="103" t="s">
        <v>114</v>
      </c>
      <c r="E21" s="120"/>
      <c r="F21" s="129"/>
      <c r="G21" s="143"/>
      <c r="H21" s="143"/>
      <c r="I21" s="143"/>
      <c r="J21" s="143"/>
      <c r="K21" s="144"/>
      <c r="L21" s="118"/>
      <c r="M21" s="118"/>
      <c r="N21" s="105">
        <v>1</v>
      </c>
      <c r="O21" s="41"/>
      <c r="P21" s="41"/>
      <c r="Q21" s="108"/>
      <c r="R21" s="179"/>
      <c r="S21" s="186"/>
      <c r="T21"/>
      <c r="U21"/>
      <c r="V21"/>
      <c r="W21"/>
      <c r="X21"/>
      <c r="Y21" s="85"/>
      <c r="Z21" s="10"/>
      <c r="AA21" s="10"/>
      <c r="AB21" s="29"/>
      <c r="AC21" s="10"/>
      <c r="AD21" s="10"/>
      <c r="AE21" s="3"/>
      <c r="AF21" s="73"/>
      <c r="AG21" s="2"/>
      <c r="AH21" s="2"/>
      <c r="AJ21" s="80"/>
      <c r="AK21" s="10"/>
      <c r="AL21" s="10"/>
      <c r="AM21" s="10"/>
      <c r="AN21" s="10"/>
      <c r="AO21" s="2"/>
      <c r="AP21" s="73"/>
    </row>
    <row r="22" spans="1:42">
      <c r="A22" s="102" t="s">
        <v>70</v>
      </c>
      <c r="B22" s="40" t="s">
        <v>66</v>
      </c>
      <c r="C22">
        <v>1</v>
      </c>
      <c r="D22" s="40" t="s">
        <v>67</v>
      </c>
      <c r="E22" s="31">
        <v>55</v>
      </c>
      <c r="F22" s="128">
        <f>E22*C22</f>
        <v>55</v>
      </c>
      <c r="G22" s="139">
        <v>0</v>
      </c>
      <c r="H22" s="243">
        <v>6</v>
      </c>
      <c r="I22" s="139">
        <v>0</v>
      </c>
      <c r="J22" s="139">
        <v>0</v>
      </c>
      <c r="K22" s="140">
        <v>0</v>
      </c>
      <c r="L22" t="s">
        <v>8</v>
      </c>
      <c r="M22" s="31">
        <f>((Shop*G22)+(M_Tech*H22)+(CMM*I22)+(ENG*J22)+(DES*K22))*N22</f>
        <v>2106</v>
      </c>
      <c r="N22">
        <v>3</v>
      </c>
      <c r="O22" s="41">
        <f>M22+(N22*F22)</f>
        <v>2271</v>
      </c>
      <c r="P22" s="41"/>
      <c r="Q22" s="108" t="s">
        <v>49</v>
      </c>
      <c r="R22" s="179" t="s">
        <v>92</v>
      </c>
      <c r="S22" s="186" t="str">
        <f t="shared" ref="S22:S23" si="72">CONCATENATE(Q22,R22,Y22)</f>
        <v>BPD2009</v>
      </c>
      <c r="T22"/>
      <c r="U22"/>
      <c r="V22"/>
      <c r="W22"/>
      <c r="X22"/>
      <c r="Y22" s="85">
        <v>2009</v>
      </c>
      <c r="Z22" s="2">
        <f t="shared" ref="Z22:Z23" si="73">IF($Q22="B", (G22*$N22),0)</f>
        <v>0</v>
      </c>
      <c r="AA22" s="2">
        <f t="shared" ref="AA22:AA23" si="74">IF($Q22="B", (H22*$N22),0)</f>
        <v>18</v>
      </c>
      <c r="AB22" s="2">
        <f t="shared" ref="AB22:AB23" si="75">IF($Q22="B", (I22*$N22),0)</f>
        <v>0</v>
      </c>
      <c r="AC22" s="2">
        <f t="shared" ref="AC22:AC23" si="76">IF($Q22="B", (J22*$N22),0)</f>
        <v>0</v>
      </c>
      <c r="AD22" s="2">
        <f t="shared" ref="AD22:AD23" si="77">IF($Q22="B", (K22*$N22),0)</f>
        <v>0</v>
      </c>
      <c r="AE22" s="3">
        <f t="shared" ref="AE22:AE23" si="78">IF($Q22="B", (F22*$N22),0)</f>
        <v>165</v>
      </c>
      <c r="AF22" s="73"/>
      <c r="AG22" s="2"/>
      <c r="AH22" s="2"/>
      <c r="AJ22" s="80">
        <f t="shared" ref="AJ22:AJ23" si="79">IF($Q22="C", (G22*$N22),0)</f>
        <v>0</v>
      </c>
      <c r="AK22" s="10">
        <f t="shared" ref="AK22:AK23" si="80">IF($Q22="C", (H22*$N22),0)</f>
        <v>0</v>
      </c>
      <c r="AL22" s="10">
        <f t="shared" ref="AL22:AL23" si="81">IF($Q22="C", (I22*$N22),0)</f>
        <v>0</v>
      </c>
      <c r="AM22" s="10">
        <f t="shared" ref="AM22:AM23" si="82">IF($Q22="C", (J22*$N22),0)</f>
        <v>0</v>
      </c>
      <c r="AN22" s="10">
        <f t="shared" ref="AN22:AN23" si="83">IF($Q22="C", (K22*$N22),0)</f>
        <v>0</v>
      </c>
      <c r="AO22" s="2">
        <f t="shared" ref="AO22:AO23" si="84">IF($Q22="C", (F22*$N22),0)</f>
        <v>0</v>
      </c>
      <c r="AP22" s="73"/>
    </row>
    <row r="23" spans="1:42">
      <c r="A23" s="102" t="s">
        <v>115</v>
      </c>
      <c r="B23" s="40" t="s">
        <v>72</v>
      </c>
      <c r="C23">
        <v>0</v>
      </c>
      <c r="D23" s="40" t="s">
        <v>113</v>
      </c>
      <c r="E23" s="31">
        <v>80</v>
      </c>
      <c r="F23" s="128">
        <f>E23*C23</f>
        <v>0</v>
      </c>
      <c r="G23" s="243">
        <v>16</v>
      </c>
      <c r="H23" s="139">
        <v>4</v>
      </c>
      <c r="I23" s="139">
        <v>0</v>
      </c>
      <c r="J23" s="139">
        <v>4</v>
      </c>
      <c r="K23" s="140">
        <v>0</v>
      </c>
      <c r="L23" t="s">
        <v>8</v>
      </c>
      <c r="M23" s="31">
        <f>((Shop*G23)+(M_Tech*H23)+(CMM*I23)+(ENG*J23)+(DES*K23))*N23</f>
        <v>3100</v>
      </c>
      <c r="N23">
        <v>1</v>
      </c>
      <c r="O23" s="41">
        <f>M23+(N23*F23)</f>
        <v>3100</v>
      </c>
      <c r="P23" s="41"/>
      <c r="Q23" s="108" t="s">
        <v>49</v>
      </c>
      <c r="R23" s="179" t="s">
        <v>92</v>
      </c>
      <c r="S23" s="186" t="str">
        <f t="shared" si="72"/>
        <v>BPD2009</v>
      </c>
      <c r="T23"/>
      <c r="U23"/>
      <c r="V23"/>
      <c r="W23"/>
      <c r="X23"/>
      <c r="Y23" s="85">
        <v>2009</v>
      </c>
      <c r="Z23" s="2">
        <f t="shared" si="73"/>
        <v>16</v>
      </c>
      <c r="AA23" s="2">
        <f t="shared" si="74"/>
        <v>4</v>
      </c>
      <c r="AB23" s="2">
        <f t="shared" si="75"/>
        <v>0</v>
      </c>
      <c r="AC23" s="2">
        <f t="shared" si="76"/>
        <v>4</v>
      </c>
      <c r="AD23" s="2">
        <f t="shared" si="77"/>
        <v>0</v>
      </c>
      <c r="AE23" s="3">
        <f t="shared" si="78"/>
        <v>0</v>
      </c>
      <c r="AF23" s="73"/>
      <c r="AG23" s="2"/>
      <c r="AH23" s="2"/>
      <c r="AJ23" s="80">
        <f t="shared" si="79"/>
        <v>0</v>
      </c>
      <c r="AK23" s="10">
        <f t="shared" si="80"/>
        <v>0</v>
      </c>
      <c r="AL23" s="10">
        <f t="shared" si="81"/>
        <v>0</v>
      </c>
      <c r="AM23" s="10">
        <f t="shared" si="82"/>
        <v>0</v>
      </c>
      <c r="AN23" s="10">
        <f t="shared" si="83"/>
        <v>0</v>
      </c>
      <c r="AO23" s="2">
        <f t="shared" si="84"/>
        <v>0</v>
      </c>
      <c r="AP23" s="73"/>
    </row>
    <row r="24" spans="1:42" ht="15.75">
      <c r="A24" s="103" t="s">
        <v>116</v>
      </c>
      <c r="E24" s="120"/>
      <c r="F24" s="129"/>
      <c r="G24" s="143"/>
      <c r="H24" s="143"/>
      <c r="I24" s="143"/>
      <c r="J24" s="143"/>
      <c r="K24" s="144"/>
      <c r="L24" s="118"/>
      <c r="M24" s="118"/>
      <c r="N24" s="105">
        <v>1</v>
      </c>
      <c r="O24" s="41"/>
      <c r="P24" s="41"/>
      <c r="Q24" s="108"/>
      <c r="R24" s="179"/>
      <c r="S24" s="186"/>
      <c r="T24"/>
      <c r="U24"/>
      <c r="V24"/>
      <c r="W24"/>
      <c r="X24"/>
      <c r="Y24" s="85"/>
      <c r="Z24" s="10"/>
      <c r="AA24" s="10"/>
      <c r="AB24" s="29"/>
      <c r="AC24" s="10"/>
      <c r="AD24" s="10"/>
      <c r="AE24" s="3"/>
      <c r="AF24" s="73"/>
      <c r="AG24" s="2"/>
      <c r="AH24" s="2"/>
      <c r="AJ24" s="80"/>
      <c r="AK24" s="10"/>
      <c r="AL24" s="10"/>
      <c r="AM24" s="10"/>
      <c r="AN24" s="10"/>
      <c r="AO24" s="2"/>
      <c r="AP24" s="73"/>
    </row>
    <row r="25" spans="1:42">
      <c r="A25" s="102" t="s">
        <v>120</v>
      </c>
      <c r="B25" s="40" t="s">
        <v>72</v>
      </c>
      <c r="C25">
        <v>0</v>
      </c>
      <c r="D25" s="40" t="s">
        <v>9</v>
      </c>
      <c r="E25" s="31">
        <v>0</v>
      </c>
      <c r="F25" s="128">
        <f>E25*C25</f>
        <v>0</v>
      </c>
      <c r="G25" s="139">
        <v>32</v>
      </c>
      <c r="H25" s="139">
        <v>8</v>
      </c>
      <c r="I25" s="139">
        <v>0</v>
      </c>
      <c r="J25" s="139">
        <v>1</v>
      </c>
      <c r="K25" s="140">
        <v>0</v>
      </c>
      <c r="L25" t="s">
        <v>8</v>
      </c>
      <c r="M25" s="31">
        <f>((Shop*G25)+(M_Tech*H25)+(CMM*I25)+(ENG*J25)+(DES*K25))*N25</f>
        <v>5150</v>
      </c>
      <c r="N25">
        <f>N24</f>
        <v>1</v>
      </c>
      <c r="O25" s="41">
        <f>M25+(N25*F25)</f>
        <v>5150</v>
      </c>
      <c r="P25" s="41"/>
      <c r="Q25" s="108" t="s">
        <v>49</v>
      </c>
      <c r="R25" s="179" t="s">
        <v>92</v>
      </c>
      <c r="S25" s="186" t="str">
        <f t="shared" ref="S25:S26" si="85">CONCATENATE(Q25,R25,Y25)</f>
        <v>BPD2009</v>
      </c>
      <c r="T25"/>
      <c r="U25"/>
      <c r="V25"/>
      <c r="W25"/>
      <c r="X25"/>
      <c r="Y25" s="85">
        <v>2009</v>
      </c>
      <c r="Z25" s="2">
        <f t="shared" ref="Z25:Z26" si="86">IF($Q25="B", (G25*$N25),0)</f>
        <v>32</v>
      </c>
      <c r="AA25" s="2">
        <f t="shared" ref="AA25:AA26" si="87">IF($Q25="B", (H25*$N25),0)</f>
        <v>8</v>
      </c>
      <c r="AB25" s="2">
        <f t="shared" ref="AB25:AB26" si="88">IF($Q25="B", (I25*$N25),0)</f>
        <v>0</v>
      </c>
      <c r="AC25" s="2">
        <f t="shared" ref="AC25:AC26" si="89">IF($Q25="B", (J25*$N25),0)</f>
        <v>1</v>
      </c>
      <c r="AD25" s="2">
        <f t="shared" ref="AD25:AD26" si="90">IF($Q25="B", (K25*$N25),0)</f>
        <v>0</v>
      </c>
      <c r="AE25" s="3">
        <f t="shared" ref="AE25:AE26" si="91">IF($Q25="B", (F25*$N25),0)</f>
        <v>0</v>
      </c>
      <c r="AF25" s="73"/>
      <c r="AG25" s="2"/>
      <c r="AH25" s="2"/>
      <c r="AJ25" s="80">
        <f t="shared" ref="AJ25:AJ26" si="92">IF($Q25="C", (G25*$N25),0)</f>
        <v>0</v>
      </c>
      <c r="AK25" s="10">
        <f t="shared" ref="AK25:AK26" si="93">IF($Q25="C", (H25*$N25),0)</f>
        <v>0</v>
      </c>
      <c r="AL25" s="10">
        <f t="shared" ref="AL25:AL26" si="94">IF($Q25="C", (I25*$N25),0)</f>
        <v>0</v>
      </c>
      <c r="AM25" s="10">
        <f t="shared" ref="AM25:AM26" si="95">IF($Q25="C", (J25*$N25),0)</f>
        <v>0</v>
      </c>
      <c r="AN25" s="10">
        <f t="shared" ref="AN25:AN26" si="96">IF($Q25="C", (K25*$N25),0)</f>
        <v>0</v>
      </c>
      <c r="AO25" s="2">
        <f t="shared" ref="AO25:AO26" si="97">IF($Q25="C", (F25*$N25),0)</f>
        <v>0</v>
      </c>
      <c r="AP25" s="73"/>
    </row>
    <row r="26" spans="1:42">
      <c r="A26" s="102" t="s">
        <v>121</v>
      </c>
      <c r="B26" s="40" t="s">
        <v>72</v>
      </c>
      <c r="C26">
        <v>3</v>
      </c>
      <c r="D26" s="40" t="s">
        <v>73</v>
      </c>
      <c r="E26" s="31">
        <v>80</v>
      </c>
      <c r="F26" s="128">
        <f>E26*C26</f>
        <v>240</v>
      </c>
      <c r="G26" s="139">
        <v>16</v>
      </c>
      <c r="H26" s="139">
        <v>8</v>
      </c>
      <c r="I26" s="139">
        <v>0</v>
      </c>
      <c r="J26" s="139">
        <v>2</v>
      </c>
      <c r="K26" s="140">
        <v>0</v>
      </c>
      <c r="L26" t="s">
        <v>8</v>
      </c>
      <c r="M26" s="31">
        <f>((Shop*G26)+(M_Tech*H26)+(CMM*I26)+(ENG*J26)+(DES*K26))*N26</f>
        <v>3268</v>
      </c>
      <c r="N26">
        <f>N24</f>
        <v>1</v>
      </c>
      <c r="O26" s="41">
        <f>M26+(N26*F26)</f>
        <v>3508</v>
      </c>
      <c r="P26" s="41"/>
      <c r="Q26" s="108" t="s">
        <v>49</v>
      </c>
      <c r="R26" s="179" t="s">
        <v>92</v>
      </c>
      <c r="S26" s="186" t="str">
        <f t="shared" si="85"/>
        <v>BPD2009</v>
      </c>
      <c r="T26"/>
      <c r="U26"/>
      <c r="V26"/>
      <c r="W26"/>
      <c r="X26"/>
      <c r="Y26" s="85">
        <v>2009</v>
      </c>
      <c r="Z26" s="2">
        <f t="shared" si="86"/>
        <v>16</v>
      </c>
      <c r="AA26" s="2">
        <f t="shared" si="87"/>
        <v>8</v>
      </c>
      <c r="AB26" s="2">
        <f t="shared" si="88"/>
        <v>0</v>
      </c>
      <c r="AC26" s="2">
        <f t="shared" si="89"/>
        <v>2</v>
      </c>
      <c r="AD26" s="2">
        <f t="shared" si="90"/>
        <v>0</v>
      </c>
      <c r="AE26" s="3">
        <f t="shared" si="91"/>
        <v>240</v>
      </c>
      <c r="AF26" s="73"/>
      <c r="AG26" s="2"/>
      <c r="AH26" s="2"/>
      <c r="AJ26" s="80">
        <f t="shared" si="92"/>
        <v>0</v>
      </c>
      <c r="AK26" s="10">
        <f t="shared" si="93"/>
        <v>0</v>
      </c>
      <c r="AL26" s="10">
        <f t="shared" si="94"/>
        <v>0</v>
      </c>
      <c r="AM26" s="10">
        <f t="shared" si="95"/>
        <v>0</v>
      </c>
      <c r="AN26" s="10">
        <f t="shared" si="96"/>
        <v>0</v>
      </c>
      <c r="AO26" s="2">
        <f t="shared" si="97"/>
        <v>0</v>
      </c>
      <c r="AP26" s="73"/>
    </row>
    <row r="27" spans="1:42" ht="15.75">
      <c r="A27" s="103" t="s">
        <v>127</v>
      </c>
      <c r="E27" s="120"/>
      <c r="F27" s="129"/>
      <c r="G27" s="143"/>
      <c r="H27" s="143"/>
      <c r="I27" s="143"/>
      <c r="J27" s="143"/>
      <c r="K27" s="144"/>
      <c r="L27" s="118"/>
      <c r="M27" s="118"/>
      <c r="N27" s="105">
        <v>1</v>
      </c>
      <c r="O27" s="41"/>
      <c r="P27" s="41"/>
      <c r="Q27" s="108"/>
      <c r="R27" s="179"/>
      <c r="S27" s="186"/>
      <c r="T27"/>
      <c r="U27"/>
      <c r="V27"/>
      <c r="W27"/>
      <c r="X27"/>
      <c r="Y27" s="85"/>
      <c r="Z27" s="10"/>
      <c r="AA27" s="10"/>
      <c r="AB27" s="29"/>
      <c r="AC27" s="10"/>
      <c r="AD27" s="10"/>
      <c r="AE27" s="3"/>
      <c r="AF27" s="73"/>
      <c r="AG27" s="2"/>
      <c r="AH27" s="2"/>
      <c r="AJ27" s="80"/>
      <c r="AK27" s="10"/>
      <c r="AL27" s="10"/>
      <c r="AM27" s="10"/>
      <c r="AN27" s="10"/>
      <c r="AO27" s="2"/>
      <c r="AP27" s="73"/>
    </row>
    <row r="28" spans="1:42">
      <c r="A28" s="102" t="s">
        <v>122</v>
      </c>
      <c r="B28" s="40" t="s">
        <v>124</v>
      </c>
      <c r="C28">
        <v>0.03</v>
      </c>
      <c r="D28" s="40" t="s">
        <v>41</v>
      </c>
      <c r="E28" s="31">
        <v>600</v>
      </c>
      <c r="F28" s="128">
        <f t="shared" ref="F28:F33" si="98">E28*C28</f>
        <v>18</v>
      </c>
      <c r="G28" s="243">
        <v>0.8</v>
      </c>
      <c r="H28" s="139">
        <v>0</v>
      </c>
      <c r="I28" s="139">
        <v>0</v>
      </c>
      <c r="J28" s="243">
        <v>0</v>
      </c>
      <c r="K28" s="140">
        <v>0</v>
      </c>
      <c r="L28" t="s">
        <v>8</v>
      </c>
      <c r="M28" s="31">
        <f t="shared" ref="M28:M33" si="99">((Shop*G28)+(M_Tech*H28)+(CMM*I28)+(ENG*J28)+(DES*K28))*N28</f>
        <v>5080</v>
      </c>
      <c r="N28" s="242">
        <v>50</v>
      </c>
      <c r="O28" s="41">
        <f t="shared" ref="O28:O33" si="100">M28+(N28*F28)</f>
        <v>5980</v>
      </c>
      <c r="P28" s="41"/>
      <c r="Q28" s="108" t="s">
        <v>49</v>
      </c>
      <c r="R28" s="179" t="s">
        <v>92</v>
      </c>
      <c r="S28" s="186" t="str">
        <f t="shared" ref="S28:S31" si="101">CONCATENATE(Q28,R28,Y28)</f>
        <v>BPDHytec</v>
      </c>
      <c r="T28"/>
      <c r="U28"/>
      <c r="V28"/>
      <c r="W28"/>
      <c r="X28"/>
      <c r="Y28" s="85" t="s">
        <v>57</v>
      </c>
      <c r="Z28" s="2">
        <f t="shared" ref="Z28:AD33" si="102">IF($Q28="B", (G28*$N28),0)</f>
        <v>40</v>
      </c>
      <c r="AA28" s="2">
        <f t="shared" si="102"/>
        <v>0</v>
      </c>
      <c r="AB28" s="2">
        <f t="shared" si="102"/>
        <v>0</v>
      </c>
      <c r="AC28" s="2">
        <f t="shared" si="102"/>
        <v>0</v>
      </c>
      <c r="AD28" s="2">
        <f t="shared" si="102"/>
        <v>0</v>
      </c>
      <c r="AE28" s="3">
        <f t="shared" ref="AE28:AE33" si="103">IF($Q28="B", (F28*$N28),0)</f>
        <v>900</v>
      </c>
      <c r="AF28" s="73"/>
      <c r="AG28" s="2"/>
      <c r="AH28" s="2"/>
      <c r="AJ28" s="80">
        <f t="shared" ref="AJ28:AN33" si="104">IF($Q28="C", (G28*$N28),0)</f>
        <v>0</v>
      </c>
      <c r="AK28" s="10">
        <f t="shared" si="104"/>
        <v>0</v>
      </c>
      <c r="AL28" s="10">
        <f t="shared" si="104"/>
        <v>0</v>
      </c>
      <c r="AM28" s="10">
        <f t="shared" si="104"/>
        <v>0</v>
      </c>
      <c r="AN28" s="10">
        <f t="shared" si="104"/>
        <v>0</v>
      </c>
      <c r="AO28" s="2">
        <f t="shared" ref="AO28:AO33" si="105">IF($Q28="C", (F28*$N28),0)</f>
        <v>0</v>
      </c>
      <c r="AP28" s="73"/>
    </row>
    <row r="29" spans="1:42" s="242" customFormat="1">
      <c r="A29" s="244" t="s">
        <v>298</v>
      </c>
      <c r="B29" s="242" t="s">
        <v>34</v>
      </c>
      <c r="C29" s="242">
        <v>0</v>
      </c>
      <c r="D29" s="242" t="s">
        <v>9</v>
      </c>
      <c r="E29" s="245">
        <v>0</v>
      </c>
      <c r="F29" s="246">
        <f t="shared" si="98"/>
        <v>0</v>
      </c>
      <c r="G29" s="243">
        <v>0</v>
      </c>
      <c r="H29" s="243">
        <v>0</v>
      </c>
      <c r="I29" s="243">
        <v>0</v>
      </c>
      <c r="J29" s="243">
        <v>8</v>
      </c>
      <c r="K29" s="247">
        <v>0</v>
      </c>
      <c r="L29" s="242" t="s">
        <v>8</v>
      </c>
      <c r="M29" s="245">
        <f t="shared" si="99"/>
        <v>1200</v>
      </c>
      <c r="N29" s="242">
        <v>1</v>
      </c>
      <c r="O29" s="248">
        <f t="shared" si="100"/>
        <v>1200</v>
      </c>
      <c r="P29" s="248"/>
      <c r="Q29" s="249" t="s">
        <v>49</v>
      </c>
      <c r="R29" s="250" t="s">
        <v>92</v>
      </c>
      <c r="S29" s="251" t="str">
        <f t="shared" ref="S29" si="106">CONCATENATE(Q29,R29,Y29)</f>
        <v>BPD2009</v>
      </c>
      <c r="Y29" s="252">
        <v>2009</v>
      </c>
      <c r="Z29" s="253">
        <f t="shared" ref="Z29" si="107">IF($Q29="B", (G29*$N29),0)</f>
        <v>0</v>
      </c>
      <c r="AA29" s="253">
        <f t="shared" ref="AA29" si="108">IF($Q29="B", (H29*$N29),0)</f>
        <v>0</v>
      </c>
      <c r="AB29" s="253">
        <f t="shared" ref="AB29" si="109">IF($Q29="B", (I29*$N29),0)</f>
        <v>0</v>
      </c>
      <c r="AC29" s="253">
        <f t="shared" ref="AC29" si="110">IF($Q29="B", (J29*$N29),0)</f>
        <v>8</v>
      </c>
      <c r="AD29" s="253">
        <f t="shared" ref="AD29" si="111">IF($Q29="B", (K29*$N29),0)</f>
        <v>0</v>
      </c>
      <c r="AE29" s="254">
        <f t="shared" si="103"/>
        <v>0</v>
      </c>
      <c r="AF29" s="255"/>
      <c r="AG29" s="253"/>
      <c r="AH29" s="253"/>
      <c r="AI29" s="245"/>
      <c r="AJ29" s="256">
        <f t="shared" ref="AJ29" si="112">IF($Q29="C", (G29*$N29),0)</f>
        <v>0</v>
      </c>
      <c r="AK29" s="257">
        <f t="shared" ref="AK29" si="113">IF($Q29="C", (H29*$N29),0)</f>
        <v>0</v>
      </c>
      <c r="AL29" s="257">
        <f t="shared" ref="AL29" si="114">IF($Q29="C", (I29*$N29),0)</f>
        <v>0</v>
      </c>
      <c r="AM29" s="257">
        <f t="shared" ref="AM29" si="115">IF($Q29="C", (J29*$N29),0)</f>
        <v>0</v>
      </c>
      <c r="AN29" s="257">
        <f t="shared" ref="AN29" si="116">IF($Q29="C", (K29*$N29),0)</f>
        <v>0</v>
      </c>
      <c r="AO29" s="253">
        <f t="shared" si="105"/>
        <v>0</v>
      </c>
      <c r="AP29" s="255"/>
    </row>
    <row r="30" spans="1:42">
      <c r="A30" s="102" t="s">
        <v>134</v>
      </c>
      <c r="B30" s="40" t="s">
        <v>124</v>
      </c>
      <c r="C30">
        <v>0.03</v>
      </c>
      <c r="D30" s="40" t="s">
        <v>41</v>
      </c>
      <c r="E30" s="31">
        <v>600</v>
      </c>
      <c r="F30" s="128">
        <f t="shared" si="98"/>
        <v>18</v>
      </c>
      <c r="G30" s="139">
        <v>0.8</v>
      </c>
      <c r="H30" s="139">
        <v>0</v>
      </c>
      <c r="I30" s="139">
        <v>0</v>
      </c>
      <c r="J30" s="139">
        <v>0</v>
      </c>
      <c r="K30" s="140">
        <v>0</v>
      </c>
      <c r="L30" t="s">
        <v>8</v>
      </c>
      <c r="M30" s="31">
        <f t="shared" si="99"/>
        <v>1219.2</v>
      </c>
      <c r="N30" s="242">
        <v>12</v>
      </c>
      <c r="O30" s="41">
        <f t="shared" si="100"/>
        <v>1435.2</v>
      </c>
      <c r="P30" s="41"/>
      <c r="Q30" s="108" t="s">
        <v>50</v>
      </c>
      <c r="R30" s="179" t="s">
        <v>92</v>
      </c>
      <c r="S30" s="186" t="str">
        <f>CONCATENATE(Q30,R30,Y30)</f>
        <v>CPDHytec</v>
      </c>
      <c r="T30"/>
      <c r="U30"/>
      <c r="V30"/>
      <c r="W30"/>
      <c r="X30"/>
      <c r="Y30" s="85" t="s">
        <v>57</v>
      </c>
      <c r="Z30" s="2">
        <f t="shared" si="102"/>
        <v>0</v>
      </c>
      <c r="AA30" s="2">
        <f t="shared" si="102"/>
        <v>0</v>
      </c>
      <c r="AB30" s="2">
        <f t="shared" si="102"/>
        <v>0</v>
      </c>
      <c r="AC30" s="2">
        <f t="shared" si="102"/>
        <v>0</v>
      </c>
      <c r="AD30" s="2">
        <f t="shared" si="102"/>
        <v>0</v>
      </c>
      <c r="AE30" s="3">
        <f t="shared" si="103"/>
        <v>0</v>
      </c>
      <c r="AF30" s="73"/>
      <c r="AG30" s="2"/>
      <c r="AH30" s="2"/>
      <c r="AJ30" s="80">
        <f t="shared" si="104"/>
        <v>9.6000000000000014</v>
      </c>
      <c r="AK30" s="10">
        <f t="shared" si="104"/>
        <v>0</v>
      </c>
      <c r="AL30" s="10">
        <f t="shared" si="104"/>
        <v>0</v>
      </c>
      <c r="AM30" s="10">
        <f t="shared" si="104"/>
        <v>0</v>
      </c>
      <c r="AN30" s="10">
        <f t="shared" si="104"/>
        <v>0</v>
      </c>
      <c r="AO30" s="2">
        <f t="shared" si="105"/>
        <v>216</v>
      </c>
      <c r="AP30" s="73"/>
    </row>
    <row r="31" spans="1:42">
      <c r="A31" s="102" t="s">
        <v>123</v>
      </c>
      <c r="B31" s="40" t="s">
        <v>124</v>
      </c>
      <c r="C31">
        <v>0.08</v>
      </c>
      <c r="D31" s="40" t="s">
        <v>41</v>
      </c>
      <c r="E31" s="31">
        <v>600</v>
      </c>
      <c r="F31" s="128">
        <f t="shared" si="98"/>
        <v>48</v>
      </c>
      <c r="G31" s="139">
        <v>1</v>
      </c>
      <c r="H31" s="139">
        <v>0</v>
      </c>
      <c r="I31" s="139">
        <v>0</v>
      </c>
      <c r="J31" s="243">
        <v>0</v>
      </c>
      <c r="K31" s="140">
        <v>0</v>
      </c>
      <c r="L31" t="s">
        <v>8</v>
      </c>
      <c r="M31" s="31">
        <f t="shared" si="99"/>
        <v>10160</v>
      </c>
      <c r="N31" s="242">
        <v>80</v>
      </c>
      <c r="O31" s="41">
        <f t="shared" si="100"/>
        <v>14000</v>
      </c>
      <c r="P31" s="41"/>
      <c r="Q31" s="108" t="s">
        <v>49</v>
      </c>
      <c r="R31" s="179" t="s">
        <v>92</v>
      </c>
      <c r="S31" s="186" t="str">
        <f t="shared" si="101"/>
        <v>BPDHytec</v>
      </c>
      <c r="T31"/>
      <c r="U31"/>
      <c r="V31"/>
      <c r="W31"/>
      <c r="X31"/>
      <c r="Y31" s="85" t="s">
        <v>57</v>
      </c>
      <c r="Z31" s="2">
        <f t="shared" si="102"/>
        <v>80</v>
      </c>
      <c r="AA31" s="2">
        <f t="shared" si="102"/>
        <v>0</v>
      </c>
      <c r="AB31" s="2">
        <f t="shared" si="102"/>
        <v>0</v>
      </c>
      <c r="AC31" s="2">
        <f t="shared" si="102"/>
        <v>0</v>
      </c>
      <c r="AD31" s="2">
        <f t="shared" si="102"/>
        <v>0</v>
      </c>
      <c r="AE31" s="3">
        <f t="shared" si="103"/>
        <v>3840</v>
      </c>
      <c r="AF31" s="73"/>
      <c r="AG31" s="2"/>
      <c r="AH31" s="2"/>
      <c r="AJ31" s="80">
        <f t="shared" si="104"/>
        <v>0</v>
      </c>
      <c r="AK31" s="10">
        <f t="shared" si="104"/>
        <v>0</v>
      </c>
      <c r="AL31" s="10">
        <f t="shared" si="104"/>
        <v>0</v>
      </c>
      <c r="AM31" s="10">
        <f t="shared" si="104"/>
        <v>0</v>
      </c>
      <c r="AN31" s="10">
        <f t="shared" si="104"/>
        <v>0</v>
      </c>
      <c r="AO31" s="2">
        <f t="shared" si="105"/>
        <v>0</v>
      </c>
      <c r="AP31" s="73"/>
    </row>
    <row r="32" spans="1:42" s="242" customFormat="1">
      <c r="A32" s="244" t="s">
        <v>297</v>
      </c>
      <c r="B32" s="242" t="s">
        <v>34</v>
      </c>
      <c r="C32" s="242">
        <v>0</v>
      </c>
      <c r="D32" s="242" t="s">
        <v>9</v>
      </c>
      <c r="E32" s="245">
        <v>0</v>
      </c>
      <c r="F32" s="246">
        <f t="shared" si="98"/>
        <v>0</v>
      </c>
      <c r="G32" s="243">
        <v>0</v>
      </c>
      <c r="H32" s="243">
        <v>0</v>
      </c>
      <c r="I32" s="243">
        <v>0</v>
      </c>
      <c r="J32" s="243">
        <v>8</v>
      </c>
      <c r="K32" s="247">
        <v>0</v>
      </c>
      <c r="L32" s="242" t="s">
        <v>8</v>
      </c>
      <c r="M32" s="245">
        <f t="shared" si="99"/>
        <v>1200</v>
      </c>
      <c r="N32" s="242">
        <v>1</v>
      </c>
      <c r="O32" s="248">
        <f t="shared" si="100"/>
        <v>1200</v>
      </c>
      <c r="P32" s="248"/>
      <c r="Q32" s="249" t="s">
        <v>49</v>
      </c>
      <c r="R32" s="250" t="s">
        <v>92</v>
      </c>
      <c r="S32" s="251" t="str">
        <f t="shared" ref="S32" si="117">CONCATENATE(Q32,R32,Y32)</f>
        <v>BPD2009</v>
      </c>
      <c r="Y32" s="252">
        <v>2009</v>
      </c>
      <c r="Z32" s="253">
        <f>IF($Q32="B", (G32*$N32),0)</f>
        <v>0</v>
      </c>
      <c r="AA32" s="253">
        <f>IF($Q32="B", (H32*$N32),0)</f>
        <v>0</v>
      </c>
      <c r="AB32" s="253">
        <f>IF($Q32="B", (I32*$N32),0)</f>
        <v>0</v>
      </c>
      <c r="AC32" s="253">
        <f>IF($Q32="B", (J32*$N32),0)</f>
        <v>8</v>
      </c>
      <c r="AD32" s="253">
        <f>IF($Q32="B", (K32*$N32),0)</f>
        <v>0</v>
      </c>
      <c r="AE32" s="254">
        <f t="shared" si="103"/>
        <v>0</v>
      </c>
      <c r="AF32" s="255"/>
      <c r="AG32" s="253"/>
      <c r="AH32" s="253"/>
      <c r="AI32" s="245"/>
      <c r="AJ32" s="256">
        <f>IF($Q32="C", (G32*$N32),0)</f>
        <v>0</v>
      </c>
      <c r="AK32" s="257">
        <f>IF($Q32="C", (H32*$N32),0)</f>
        <v>0</v>
      </c>
      <c r="AL32" s="257">
        <f>IF($Q32="C", (I32*$N32),0)</f>
        <v>0</v>
      </c>
      <c r="AM32" s="257">
        <f>IF($Q32="C", (J32*$N32),0)</f>
        <v>0</v>
      </c>
      <c r="AN32" s="257">
        <f>IF($Q32="C", (K32*$N32),0)</f>
        <v>0</v>
      </c>
      <c r="AO32" s="253">
        <f t="shared" si="105"/>
        <v>0</v>
      </c>
      <c r="AP32" s="255"/>
    </row>
    <row r="33" spans="1:42">
      <c r="A33" s="102" t="s">
        <v>135</v>
      </c>
      <c r="B33" s="40" t="s">
        <v>124</v>
      </c>
      <c r="C33">
        <v>0.08</v>
      </c>
      <c r="D33" s="40" t="s">
        <v>41</v>
      </c>
      <c r="E33" s="31">
        <v>600</v>
      </c>
      <c r="F33" s="128">
        <f t="shared" si="98"/>
        <v>48</v>
      </c>
      <c r="G33" s="139">
        <v>1</v>
      </c>
      <c r="H33" s="139">
        <v>0</v>
      </c>
      <c r="I33" s="139">
        <v>0</v>
      </c>
      <c r="J33" s="139">
        <v>0</v>
      </c>
      <c r="K33" s="140">
        <v>0</v>
      </c>
      <c r="L33" t="s">
        <v>8</v>
      </c>
      <c r="M33" s="31">
        <f t="shared" si="99"/>
        <v>1270</v>
      </c>
      <c r="N33" s="242">
        <v>10</v>
      </c>
      <c r="O33" s="41">
        <f t="shared" si="100"/>
        <v>1750</v>
      </c>
      <c r="P33" s="41"/>
      <c r="Q33" s="108" t="s">
        <v>50</v>
      </c>
      <c r="R33" s="179" t="s">
        <v>92</v>
      </c>
      <c r="S33" s="186" t="str">
        <f t="shared" ref="S33" si="118">CONCATENATE(Q33,R33,Y33)</f>
        <v>CPDHytec</v>
      </c>
      <c r="T33"/>
      <c r="U33"/>
      <c r="V33"/>
      <c r="W33"/>
      <c r="X33"/>
      <c r="Y33" s="85" t="s">
        <v>57</v>
      </c>
      <c r="Z33" s="2">
        <f t="shared" si="102"/>
        <v>0</v>
      </c>
      <c r="AA33" s="2">
        <f t="shared" si="102"/>
        <v>0</v>
      </c>
      <c r="AB33" s="2">
        <f t="shared" si="102"/>
        <v>0</v>
      </c>
      <c r="AC33" s="2">
        <f t="shared" si="102"/>
        <v>0</v>
      </c>
      <c r="AD33" s="2">
        <f t="shared" si="102"/>
        <v>0</v>
      </c>
      <c r="AE33" s="3">
        <f t="shared" si="103"/>
        <v>0</v>
      </c>
      <c r="AF33" s="73"/>
      <c r="AG33" s="2"/>
      <c r="AH33" s="2"/>
      <c r="AJ33" s="80">
        <f t="shared" si="104"/>
        <v>10</v>
      </c>
      <c r="AK33" s="10">
        <f t="shared" si="104"/>
        <v>0</v>
      </c>
      <c r="AL33" s="10">
        <f t="shared" si="104"/>
        <v>0</v>
      </c>
      <c r="AM33" s="10">
        <f t="shared" si="104"/>
        <v>0</v>
      </c>
      <c r="AN33" s="10">
        <f t="shared" si="104"/>
        <v>0</v>
      </c>
      <c r="AO33" s="2">
        <f t="shared" si="105"/>
        <v>480</v>
      </c>
      <c r="AP33" s="73"/>
    </row>
    <row r="34" spans="1:42">
      <c r="A34" s="103" t="s">
        <v>77</v>
      </c>
      <c r="E34" s="120"/>
      <c r="F34" s="129"/>
      <c r="G34" s="143"/>
      <c r="H34" s="143"/>
      <c r="I34" s="143"/>
      <c r="J34" s="143"/>
      <c r="K34" s="144"/>
      <c r="L34" s="169" t="s">
        <v>79</v>
      </c>
      <c r="M34" s="170">
        <f>SUMIF(Q28:Q33,"B",M28:M33)</f>
        <v>17640</v>
      </c>
      <c r="N34" s="171" t="s">
        <v>79</v>
      </c>
      <c r="O34" s="41"/>
      <c r="P34" s="41"/>
      <c r="Q34" s="108"/>
      <c r="R34" s="179"/>
      <c r="S34" s="186"/>
      <c r="T34"/>
      <c r="U34"/>
      <c r="V34"/>
      <c r="W34"/>
      <c r="X34"/>
      <c r="Y34" s="85"/>
      <c r="Z34" s="10"/>
      <c r="AA34" s="10"/>
      <c r="AB34" s="29"/>
      <c r="AC34" s="10"/>
      <c r="AD34" s="10"/>
      <c r="AE34" s="3"/>
      <c r="AF34" s="73"/>
      <c r="AG34" s="2"/>
      <c r="AH34" s="2"/>
      <c r="AJ34" s="80"/>
      <c r="AK34" s="10"/>
      <c r="AL34" s="10"/>
      <c r="AM34" s="10"/>
      <c r="AN34" s="10"/>
      <c r="AO34" s="2"/>
      <c r="AP34" s="73"/>
    </row>
    <row r="35" spans="1:42">
      <c r="A35" s="102" t="s">
        <v>184</v>
      </c>
      <c r="B35" s="40" t="s">
        <v>7</v>
      </c>
      <c r="C35">
        <v>20</v>
      </c>
      <c r="D35" s="40" t="s">
        <v>41</v>
      </c>
      <c r="E35" s="31">
        <v>8</v>
      </c>
      <c r="F35" s="128">
        <f t="shared" ref="F35:F42" si="119">E35*C35</f>
        <v>160</v>
      </c>
      <c r="G35" s="139">
        <v>24</v>
      </c>
      <c r="H35" s="139">
        <v>4</v>
      </c>
      <c r="I35" s="139">
        <v>0</v>
      </c>
      <c r="J35" s="139">
        <v>8</v>
      </c>
      <c r="K35" s="140">
        <v>0</v>
      </c>
      <c r="L35" t="s">
        <v>8</v>
      </c>
      <c r="M35" s="31">
        <f t="shared" ref="M35:M42" si="120">((Shop*G35)+(M_Tech*H35)+(CMM*I35)+(ENG*J35)+(DES*K35))*N35</f>
        <v>4716</v>
      </c>
      <c r="N35">
        <v>1</v>
      </c>
      <c r="O35" s="41">
        <f t="shared" ref="O35:O42" si="121">M35+(N35*F35)</f>
        <v>4876</v>
      </c>
      <c r="P35" s="41"/>
      <c r="Q35" s="108" t="s">
        <v>49</v>
      </c>
      <c r="R35" s="179" t="s">
        <v>92</v>
      </c>
      <c r="S35" s="186" t="str">
        <f t="shared" ref="S35:S38" si="122">CONCATENATE(Q35,R35,Y35)</f>
        <v>BPD2009</v>
      </c>
      <c r="T35"/>
      <c r="U35"/>
      <c r="V35"/>
      <c r="W35"/>
      <c r="X35"/>
      <c r="Y35" s="85">
        <v>2009</v>
      </c>
      <c r="Z35" s="2">
        <f t="shared" ref="Z35:Z38" si="123">IF($Q35="B", (G35*$N35),0)</f>
        <v>24</v>
      </c>
      <c r="AA35" s="2">
        <f t="shared" ref="AA35:AA38" si="124">IF($Q35="B", (H35*$N35),0)</f>
        <v>4</v>
      </c>
      <c r="AB35" s="2">
        <f t="shared" ref="AB35:AB38" si="125">IF($Q35="B", (I35*$N35),0)</f>
        <v>0</v>
      </c>
      <c r="AC35" s="2">
        <f t="shared" ref="AC35:AC38" si="126">IF($Q35="B", (J35*$N35),0)</f>
        <v>8</v>
      </c>
      <c r="AD35" s="2">
        <f t="shared" ref="AD35:AD38" si="127">IF($Q35="B", (K35*$N35),0)</f>
        <v>0</v>
      </c>
      <c r="AE35" s="3">
        <f t="shared" ref="AE35:AE38" si="128">IF($Q35="B", (F35*$N35),0)</f>
        <v>160</v>
      </c>
      <c r="AF35" s="73"/>
      <c r="AG35" s="2"/>
      <c r="AH35" s="2"/>
      <c r="AJ35" s="80">
        <f t="shared" ref="AJ35:AJ38" si="129">IF($Q35="C", (G35*$N35),0)</f>
        <v>0</v>
      </c>
      <c r="AK35" s="10">
        <f t="shared" ref="AK35:AK38" si="130">IF($Q35="C", (H35*$N35),0)</f>
        <v>0</v>
      </c>
      <c r="AL35" s="10">
        <f t="shared" ref="AL35:AL38" si="131">IF($Q35="C", (I35*$N35),0)</f>
        <v>0</v>
      </c>
      <c r="AM35" s="10">
        <f t="shared" ref="AM35:AM38" si="132">IF($Q35="C", (J35*$N35),0)</f>
        <v>0</v>
      </c>
      <c r="AN35" s="10">
        <f t="shared" ref="AN35:AN38" si="133">IF($Q35="C", (K35*$N35),0)</f>
        <v>0</v>
      </c>
      <c r="AO35" s="2">
        <f t="shared" ref="AO35:AO38" si="134">IF($Q35="C", (F35*$N35),0)</f>
        <v>0</v>
      </c>
      <c r="AP35" s="73"/>
    </row>
    <row r="36" spans="1:42">
      <c r="A36" s="102" t="s">
        <v>185</v>
      </c>
      <c r="B36" s="40" t="s">
        <v>7</v>
      </c>
      <c r="C36">
        <v>5</v>
      </c>
      <c r="D36" s="40" t="s">
        <v>41</v>
      </c>
      <c r="E36" s="31">
        <v>8</v>
      </c>
      <c r="F36" s="128">
        <f t="shared" si="119"/>
        <v>40</v>
      </c>
      <c r="G36" s="139">
        <v>8</v>
      </c>
      <c r="H36" s="139">
        <v>2</v>
      </c>
      <c r="I36" s="139">
        <v>0</v>
      </c>
      <c r="J36" s="139">
        <v>0</v>
      </c>
      <c r="K36" s="140">
        <v>0</v>
      </c>
      <c r="L36" t="s">
        <v>8</v>
      </c>
      <c r="M36" s="31">
        <f t="shared" si="120"/>
        <v>1250</v>
      </c>
      <c r="N36">
        <v>1</v>
      </c>
      <c r="O36" s="41">
        <f t="shared" si="121"/>
        <v>1290</v>
      </c>
      <c r="P36" s="41"/>
      <c r="Q36" s="108" t="s">
        <v>49</v>
      </c>
      <c r="R36" s="179" t="s">
        <v>92</v>
      </c>
      <c r="S36" s="186" t="str">
        <f t="shared" ref="S36" si="135">CONCATENATE(Q36,R36,Y36)</f>
        <v>BPD2009</v>
      </c>
      <c r="T36"/>
      <c r="U36"/>
      <c r="V36"/>
      <c r="W36"/>
      <c r="X36"/>
      <c r="Y36" s="85">
        <v>2009</v>
      </c>
      <c r="Z36" s="2">
        <f t="shared" ref="Z36" si="136">IF($Q36="B", (G36*$N36),0)</f>
        <v>8</v>
      </c>
      <c r="AA36" s="2">
        <f t="shared" ref="AA36" si="137">IF($Q36="B", (H36*$N36),0)</f>
        <v>2</v>
      </c>
      <c r="AB36" s="2">
        <f t="shared" ref="AB36" si="138">IF($Q36="B", (I36*$N36),0)</f>
        <v>0</v>
      </c>
      <c r="AC36" s="2">
        <f t="shared" ref="AC36" si="139">IF($Q36="B", (J36*$N36),0)</f>
        <v>0</v>
      </c>
      <c r="AD36" s="2">
        <f t="shared" ref="AD36" si="140">IF($Q36="B", (K36*$N36),0)</f>
        <v>0</v>
      </c>
      <c r="AE36" s="3">
        <f t="shared" ref="AE36" si="141">IF($Q36="B", (F36*$N36),0)</f>
        <v>40</v>
      </c>
      <c r="AF36" s="73"/>
      <c r="AG36" s="2"/>
      <c r="AH36" s="2"/>
      <c r="AJ36" s="80">
        <f t="shared" ref="AJ36" si="142">IF($Q36="C", (G36*$N36),0)</f>
        <v>0</v>
      </c>
      <c r="AK36" s="10">
        <f t="shared" ref="AK36" si="143">IF($Q36="C", (H36*$N36),0)</f>
        <v>0</v>
      </c>
      <c r="AL36" s="10">
        <f t="shared" ref="AL36" si="144">IF($Q36="C", (I36*$N36),0)</f>
        <v>0</v>
      </c>
      <c r="AM36" s="10">
        <f t="shared" ref="AM36" si="145">IF($Q36="C", (J36*$N36),0)</f>
        <v>0</v>
      </c>
      <c r="AN36" s="10">
        <f t="shared" ref="AN36" si="146">IF($Q36="C", (K36*$N36),0)</f>
        <v>0</v>
      </c>
      <c r="AO36" s="2">
        <f t="shared" ref="AO36" si="147">IF($Q36="C", (F36*$N36),0)</f>
        <v>0</v>
      </c>
      <c r="AP36" s="73"/>
    </row>
    <row r="37" spans="1:42">
      <c r="A37" s="102" t="s">
        <v>186</v>
      </c>
      <c r="B37" s="40" t="s">
        <v>7</v>
      </c>
      <c r="C37">
        <v>5</v>
      </c>
      <c r="D37" s="40" t="s">
        <v>41</v>
      </c>
      <c r="E37" s="31">
        <v>8</v>
      </c>
      <c r="F37" s="128">
        <f t="shared" si="119"/>
        <v>40</v>
      </c>
      <c r="G37" s="139">
        <v>16</v>
      </c>
      <c r="H37" s="139">
        <v>0</v>
      </c>
      <c r="I37" s="139">
        <v>0</v>
      </c>
      <c r="J37" s="243">
        <v>8</v>
      </c>
      <c r="K37" s="140">
        <v>0</v>
      </c>
      <c r="L37" t="s">
        <v>8</v>
      </c>
      <c r="M37" s="31">
        <f t="shared" si="120"/>
        <v>3232</v>
      </c>
      <c r="N37">
        <v>1</v>
      </c>
      <c r="O37" s="41">
        <f t="shared" si="121"/>
        <v>3272</v>
      </c>
      <c r="P37" s="41"/>
      <c r="Q37" s="108" t="s">
        <v>49</v>
      </c>
      <c r="R37" s="179" t="s">
        <v>92</v>
      </c>
      <c r="S37" s="186" t="str">
        <f t="shared" si="122"/>
        <v>BPD2009</v>
      </c>
      <c r="T37"/>
      <c r="U37"/>
      <c r="V37"/>
      <c r="W37"/>
      <c r="X37"/>
      <c r="Y37" s="85">
        <v>2009</v>
      </c>
      <c r="Z37" s="2">
        <f t="shared" si="123"/>
        <v>16</v>
      </c>
      <c r="AA37" s="2">
        <f t="shared" si="124"/>
        <v>0</v>
      </c>
      <c r="AB37" s="2">
        <f t="shared" si="125"/>
        <v>0</v>
      </c>
      <c r="AC37" s="2">
        <f t="shared" si="126"/>
        <v>8</v>
      </c>
      <c r="AD37" s="2">
        <f t="shared" si="127"/>
        <v>0</v>
      </c>
      <c r="AE37" s="3">
        <f t="shared" si="128"/>
        <v>40</v>
      </c>
      <c r="AF37" s="73"/>
      <c r="AG37" s="2"/>
      <c r="AH37" s="2"/>
      <c r="AJ37" s="80">
        <f t="shared" si="129"/>
        <v>0</v>
      </c>
      <c r="AK37" s="10">
        <f t="shared" si="130"/>
        <v>0</v>
      </c>
      <c r="AL37" s="10">
        <f t="shared" si="131"/>
        <v>0</v>
      </c>
      <c r="AM37" s="10">
        <f t="shared" si="132"/>
        <v>0</v>
      </c>
      <c r="AN37" s="10">
        <f t="shared" si="133"/>
        <v>0</v>
      </c>
      <c r="AO37" s="2">
        <f t="shared" si="134"/>
        <v>0</v>
      </c>
      <c r="AP37" s="73"/>
    </row>
    <row r="38" spans="1:42">
      <c r="A38" s="102" t="s">
        <v>187</v>
      </c>
      <c r="B38" s="40" t="s">
        <v>7</v>
      </c>
      <c r="C38">
        <v>20</v>
      </c>
      <c r="D38" s="40" t="s">
        <v>41</v>
      </c>
      <c r="E38" s="31">
        <v>8</v>
      </c>
      <c r="F38" s="128">
        <f t="shared" si="119"/>
        <v>160</v>
      </c>
      <c r="G38" s="139">
        <v>24</v>
      </c>
      <c r="H38" s="139">
        <v>8</v>
      </c>
      <c r="I38" s="139">
        <v>0</v>
      </c>
      <c r="J38" s="139">
        <v>8</v>
      </c>
      <c r="K38" s="140">
        <v>0</v>
      </c>
      <c r="L38" t="s">
        <v>8</v>
      </c>
      <c r="M38" s="31">
        <f t="shared" si="120"/>
        <v>5184</v>
      </c>
      <c r="N38">
        <v>1</v>
      </c>
      <c r="O38" s="41">
        <f t="shared" si="121"/>
        <v>5344</v>
      </c>
      <c r="P38" s="41"/>
      <c r="Q38" s="108" t="s">
        <v>49</v>
      </c>
      <c r="R38" s="179" t="s">
        <v>92</v>
      </c>
      <c r="S38" s="186" t="str">
        <f t="shared" si="122"/>
        <v>BPD2009</v>
      </c>
      <c r="T38"/>
      <c r="U38"/>
      <c r="V38"/>
      <c r="W38"/>
      <c r="X38"/>
      <c r="Y38" s="85">
        <v>2009</v>
      </c>
      <c r="Z38" s="2">
        <f t="shared" si="123"/>
        <v>24</v>
      </c>
      <c r="AA38" s="2">
        <f t="shared" si="124"/>
        <v>8</v>
      </c>
      <c r="AB38" s="2">
        <f t="shared" si="125"/>
        <v>0</v>
      </c>
      <c r="AC38" s="2">
        <f t="shared" si="126"/>
        <v>8</v>
      </c>
      <c r="AD38" s="2">
        <f t="shared" si="127"/>
        <v>0</v>
      </c>
      <c r="AE38" s="3">
        <f t="shared" si="128"/>
        <v>160</v>
      </c>
      <c r="AF38" s="73"/>
      <c r="AG38" s="2"/>
      <c r="AH38" s="2"/>
      <c r="AJ38" s="80">
        <f t="shared" si="129"/>
        <v>0</v>
      </c>
      <c r="AK38" s="10">
        <f t="shared" si="130"/>
        <v>0</v>
      </c>
      <c r="AL38" s="10">
        <f t="shared" si="131"/>
        <v>0</v>
      </c>
      <c r="AM38" s="10">
        <f t="shared" si="132"/>
        <v>0</v>
      </c>
      <c r="AN38" s="10">
        <f t="shared" si="133"/>
        <v>0</v>
      </c>
      <c r="AO38" s="2">
        <f t="shared" si="134"/>
        <v>0</v>
      </c>
      <c r="AP38" s="73"/>
    </row>
    <row r="39" spans="1:42">
      <c r="A39" s="102" t="s">
        <v>132</v>
      </c>
      <c r="B39" s="40" t="s">
        <v>7</v>
      </c>
      <c r="C39">
        <v>10</v>
      </c>
      <c r="D39" s="40" t="s">
        <v>41</v>
      </c>
      <c r="E39" s="31">
        <v>8</v>
      </c>
      <c r="F39" s="128">
        <f t="shared" si="119"/>
        <v>80</v>
      </c>
      <c r="G39" s="139">
        <v>16</v>
      </c>
      <c r="H39" s="139">
        <v>4</v>
      </c>
      <c r="I39" s="139">
        <v>0</v>
      </c>
      <c r="J39" s="243">
        <v>8</v>
      </c>
      <c r="K39" s="140">
        <v>0</v>
      </c>
      <c r="L39" t="s">
        <v>8</v>
      </c>
      <c r="M39" s="31">
        <f t="shared" si="120"/>
        <v>3700</v>
      </c>
      <c r="N39">
        <v>1</v>
      </c>
      <c r="O39" s="41">
        <f t="shared" si="121"/>
        <v>3780</v>
      </c>
      <c r="P39" s="41"/>
      <c r="Q39" s="108" t="s">
        <v>49</v>
      </c>
      <c r="R39" s="179" t="s">
        <v>92</v>
      </c>
      <c r="S39" s="186" t="str">
        <f t="shared" ref="S39:S42" si="148">CONCATENATE(Q39,R39,Y39)</f>
        <v>BPD2009</v>
      </c>
      <c r="T39"/>
      <c r="U39"/>
      <c r="V39"/>
      <c r="W39"/>
      <c r="X39"/>
      <c r="Y39" s="85">
        <v>2009</v>
      </c>
      <c r="Z39" s="2">
        <f t="shared" ref="Z39:Z42" si="149">IF($Q39="B", (G39*$N39),0)</f>
        <v>16</v>
      </c>
      <c r="AA39" s="2">
        <f t="shared" ref="AA39:AA42" si="150">IF($Q39="B", (H39*$N39),0)</f>
        <v>4</v>
      </c>
      <c r="AB39" s="2">
        <f t="shared" ref="AB39:AB42" si="151">IF($Q39="B", (I39*$N39),0)</f>
        <v>0</v>
      </c>
      <c r="AC39" s="2">
        <f t="shared" ref="AC39:AC42" si="152">IF($Q39="B", (J39*$N39),0)</f>
        <v>8</v>
      </c>
      <c r="AD39" s="2">
        <f t="shared" ref="AD39:AD42" si="153">IF($Q39="B", (K39*$N39),0)</f>
        <v>0</v>
      </c>
      <c r="AE39" s="3">
        <f t="shared" ref="AE39:AE42" si="154">IF($Q39="B", (F39*$N39),0)</f>
        <v>80</v>
      </c>
      <c r="AF39" s="73"/>
      <c r="AG39" s="2"/>
      <c r="AH39" s="2"/>
      <c r="AJ39" s="80">
        <f t="shared" ref="AJ39:AJ42" si="155">IF($Q39="C", (G39*$N39),0)</f>
        <v>0</v>
      </c>
      <c r="AK39" s="10">
        <f t="shared" ref="AK39:AK42" si="156">IF($Q39="C", (H39*$N39),0)</f>
        <v>0</v>
      </c>
      <c r="AL39" s="10">
        <f t="shared" ref="AL39:AL42" si="157">IF($Q39="C", (I39*$N39),0)</f>
        <v>0</v>
      </c>
      <c r="AM39" s="10">
        <f t="shared" ref="AM39:AM42" si="158">IF($Q39="C", (J39*$N39),0)</f>
        <v>0</v>
      </c>
      <c r="AN39" s="10">
        <f t="shared" ref="AN39:AN42" si="159">IF($Q39="C", (K39*$N39),0)</f>
        <v>0</v>
      </c>
      <c r="AO39" s="2">
        <f t="shared" ref="AO39:AO42" si="160">IF($Q39="C", (F39*$N39),0)</f>
        <v>0</v>
      </c>
      <c r="AP39" s="73"/>
    </row>
    <row r="40" spans="1:42">
      <c r="A40" s="102" t="s">
        <v>131</v>
      </c>
      <c r="B40" s="40" t="s">
        <v>7</v>
      </c>
      <c r="C40">
        <v>5</v>
      </c>
      <c r="D40" s="40" t="s">
        <v>41</v>
      </c>
      <c r="E40" s="31">
        <v>8</v>
      </c>
      <c r="F40" s="128">
        <f t="shared" si="119"/>
        <v>40</v>
      </c>
      <c r="G40" s="139">
        <v>4</v>
      </c>
      <c r="H40" s="139">
        <v>0</v>
      </c>
      <c r="I40" s="139">
        <v>0</v>
      </c>
      <c r="J40" s="139">
        <v>1</v>
      </c>
      <c r="K40" s="140">
        <v>0</v>
      </c>
      <c r="L40" t="s">
        <v>8</v>
      </c>
      <c r="M40" s="31">
        <f t="shared" si="120"/>
        <v>658</v>
      </c>
      <c r="N40">
        <v>1</v>
      </c>
      <c r="O40" s="41">
        <f t="shared" si="121"/>
        <v>698</v>
      </c>
      <c r="P40" s="41"/>
      <c r="Q40" s="108" t="s">
        <v>49</v>
      </c>
      <c r="R40" s="179" t="s">
        <v>92</v>
      </c>
      <c r="S40" s="186" t="str">
        <f t="shared" si="148"/>
        <v>BPD2009</v>
      </c>
      <c r="T40"/>
      <c r="U40"/>
      <c r="V40"/>
      <c r="W40"/>
      <c r="X40"/>
      <c r="Y40" s="85">
        <v>2009</v>
      </c>
      <c r="Z40" s="2">
        <f t="shared" si="149"/>
        <v>4</v>
      </c>
      <c r="AA40" s="2">
        <f t="shared" si="150"/>
        <v>0</v>
      </c>
      <c r="AB40" s="2">
        <f t="shared" si="151"/>
        <v>0</v>
      </c>
      <c r="AC40" s="2">
        <f t="shared" si="152"/>
        <v>1</v>
      </c>
      <c r="AD40" s="2">
        <f t="shared" si="153"/>
        <v>0</v>
      </c>
      <c r="AE40" s="3">
        <f t="shared" si="154"/>
        <v>40</v>
      </c>
      <c r="AF40" s="73"/>
      <c r="AG40" s="2"/>
      <c r="AH40" s="2"/>
      <c r="AJ40" s="80">
        <f t="shared" si="155"/>
        <v>0</v>
      </c>
      <c r="AK40" s="10">
        <f t="shared" si="156"/>
        <v>0</v>
      </c>
      <c r="AL40" s="10">
        <f t="shared" si="157"/>
        <v>0</v>
      </c>
      <c r="AM40" s="10">
        <f t="shared" si="158"/>
        <v>0</v>
      </c>
      <c r="AN40" s="10">
        <f t="shared" si="159"/>
        <v>0</v>
      </c>
      <c r="AO40" s="2">
        <f t="shared" si="160"/>
        <v>0</v>
      </c>
      <c r="AP40" s="73"/>
    </row>
    <row r="41" spans="1:42">
      <c r="A41" s="102" t="s">
        <v>130</v>
      </c>
      <c r="B41" s="40" t="s">
        <v>7</v>
      </c>
      <c r="C41">
        <v>5</v>
      </c>
      <c r="D41" s="40" t="s">
        <v>41</v>
      </c>
      <c r="E41" s="31">
        <v>8</v>
      </c>
      <c r="F41" s="128">
        <f t="shared" si="119"/>
        <v>40</v>
      </c>
      <c r="G41" s="139">
        <v>8</v>
      </c>
      <c r="H41" s="139">
        <v>0</v>
      </c>
      <c r="I41" s="139">
        <v>0</v>
      </c>
      <c r="J41" s="243">
        <v>8</v>
      </c>
      <c r="K41" s="140">
        <v>0</v>
      </c>
      <c r="L41" t="s">
        <v>8</v>
      </c>
      <c r="M41" s="31">
        <f t="shared" si="120"/>
        <v>2216</v>
      </c>
      <c r="N41">
        <v>1</v>
      </c>
      <c r="O41" s="41">
        <f t="shared" si="121"/>
        <v>2256</v>
      </c>
      <c r="P41" s="41"/>
      <c r="Q41" s="108" t="s">
        <v>49</v>
      </c>
      <c r="R41" s="179" t="s">
        <v>92</v>
      </c>
      <c r="S41" s="186" t="str">
        <f t="shared" ref="S41" si="161">CONCATENATE(Q41,R41,Y41)</f>
        <v>BPD2009</v>
      </c>
      <c r="T41"/>
      <c r="U41"/>
      <c r="V41"/>
      <c r="W41"/>
      <c r="X41"/>
      <c r="Y41" s="85">
        <v>2009</v>
      </c>
      <c r="Z41" s="2">
        <f t="shared" ref="Z41" si="162">IF($Q41="B", (G41*$N41),0)</f>
        <v>8</v>
      </c>
      <c r="AA41" s="2">
        <f t="shared" ref="AA41" si="163">IF($Q41="B", (H41*$N41),0)</f>
        <v>0</v>
      </c>
      <c r="AB41" s="2">
        <f t="shared" ref="AB41" si="164">IF($Q41="B", (I41*$N41),0)</f>
        <v>0</v>
      </c>
      <c r="AC41" s="2">
        <f t="shared" ref="AC41" si="165">IF($Q41="B", (J41*$N41),0)</f>
        <v>8</v>
      </c>
      <c r="AD41" s="2">
        <f t="shared" ref="AD41" si="166">IF($Q41="B", (K41*$N41),0)</f>
        <v>0</v>
      </c>
      <c r="AE41" s="3">
        <f t="shared" ref="AE41" si="167">IF($Q41="B", (F41*$N41),0)</f>
        <v>40</v>
      </c>
      <c r="AF41" s="73"/>
      <c r="AG41" s="2"/>
      <c r="AH41" s="2"/>
      <c r="AJ41" s="80">
        <f t="shared" ref="AJ41" si="168">IF($Q41="C", (G41*$N41),0)</f>
        <v>0</v>
      </c>
      <c r="AK41" s="10">
        <f t="shared" ref="AK41" si="169">IF($Q41="C", (H41*$N41),0)</f>
        <v>0</v>
      </c>
      <c r="AL41" s="10">
        <f t="shared" ref="AL41" si="170">IF($Q41="C", (I41*$N41),0)</f>
        <v>0</v>
      </c>
      <c r="AM41" s="10">
        <f t="shared" ref="AM41" si="171">IF($Q41="C", (J41*$N41),0)</f>
        <v>0</v>
      </c>
      <c r="AN41" s="10">
        <f t="shared" ref="AN41" si="172">IF($Q41="C", (K41*$N41),0)</f>
        <v>0</v>
      </c>
      <c r="AO41" s="2">
        <f t="shared" ref="AO41" si="173">IF($Q41="C", (F41*$N41),0)</f>
        <v>0</v>
      </c>
      <c r="AP41" s="73"/>
    </row>
    <row r="42" spans="1:42">
      <c r="A42" s="102" t="s">
        <v>129</v>
      </c>
      <c r="B42" s="40" t="s">
        <v>7</v>
      </c>
      <c r="C42">
        <v>5</v>
      </c>
      <c r="D42" s="40" t="s">
        <v>41</v>
      </c>
      <c r="E42" s="31">
        <v>8</v>
      </c>
      <c r="F42" s="128">
        <f t="shared" si="119"/>
        <v>40</v>
      </c>
      <c r="G42" s="139">
        <v>24</v>
      </c>
      <c r="H42" s="139">
        <v>8</v>
      </c>
      <c r="I42" s="139">
        <v>0</v>
      </c>
      <c r="J42" s="139">
        <v>8</v>
      </c>
      <c r="K42" s="140">
        <v>0</v>
      </c>
      <c r="L42" t="s">
        <v>8</v>
      </c>
      <c r="M42" s="31">
        <f t="shared" si="120"/>
        <v>5184</v>
      </c>
      <c r="N42">
        <v>1</v>
      </c>
      <c r="O42" s="41">
        <f t="shared" si="121"/>
        <v>5224</v>
      </c>
      <c r="P42" s="41"/>
      <c r="Q42" s="108" t="s">
        <v>49</v>
      </c>
      <c r="R42" s="179" t="s">
        <v>92</v>
      </c>
      <c r="S42" s="186" t="str">
        <f t="shared" si="148"/>
        <v>BPD2009</v>
      </c>
      <c r="T42"/>
      <c r="U42"/>
      <c r="V42"/>
      <c r="W42"/>
      <c r="X42"/>
      <c r="Y42" s="85">
        <v>2009</v>
      </c>
      <c r="Z42" s="2">
        <f t="shared" si="149"/>
        <v>24</v>
      </c>
      <c r="AA42" s="2">
        <f t="shared" si="150"/>
        <v>8</v>
      </c>
      <c r="AB42" s="2">
        <f t="shared" si="151"/>
        <v>0</v>
      </c>
      <c r="AC42" s="2">
        <f t="shared" si="152"/>
        <v>8</v>
      </c>
      <c r="AD42" s="2">
        <f t="shared" si="153"/>
        <v>0</v>
      </c>
      <c r="AE42" s="3">
        <f t="shared" si="154"/>
        <v>40</v>
      </c>
      <c r="AF42" s="73"/>
      <c r="AG42" s="2"/>
      <c r="AH42" s="2"/>
      <c r="AJ42" s="80">
        <f t="shared" si="155"/>
        <v>0</v>
      </c>
      <c r="AK42" s="10">
        <f t="shared" si="156"/>
        <v>0</v>
      </c>
      <c r="AL42" s="10">
        <f t="shared" si="157"/>
        <v>0</v>
      </c>
      <c r="AM42" s="10">
        <f t="shared" si="158"/>
        <v>0</v>
      </c>
      <c r="AN42" s="10">
        <f t="shared" si="159"/>
        <v>0</v>
      </c>
      <c r="AO42" s="2">
        <f t="shared" si="160"/>
        <v>0</v>
      </c>
      <c r="AP42" s="73"/>
    </row>
    <row r="43" spans="1:42">
      <c r="A43" s="102" t="s">
        <v>188</v>
      </c>
      <c r="B43" s="40" t="s">
        <v>7</v>
      </c>
      <c r="C43">
        <v>20</v>
      </c>
      <c r="D43" s="40" t="s">
        <v>41</v>
      </c>
      <c r="E43" s="31">
        <v>8</v>
      </c>
      <c r="F43" s="128">
        <f t="shared" ref="F43:F46" si="174">E43*C43</f>
        <v>160</v>
      </c>
      <c r="G43" s="139">
        <v>24</v>
      </c>
      <c r="H43" s="139">
        <v>4</v>
      </c>
      <c r="I43" s="139">
        <v>0</v>
      </c>
      <c r="J43" s="139">
        <v>8</v>
      </c>
      <c r="K43" s="140">
        <v>0</v>
      </c>
      <c r="L43" t="s">
        <v>8</v>
      </c>
      <c r="M43" s="31">
        <f t="shared" ref="M43:M46" si="175">((Shop*G43)+(M_Tech*H43)+(CMM*I43)+(ENG*J43)+(DES*K43))*N43</f>
        <v>0</v>
      </c>
      <c r="N43" s="242">
        <v>0</v>
      </c>
      <c r="O43" s="41">
        <f t="shared" ref="O43:O46" si="176">M43+(N43*F43)</f>
        <v>0</v>
      </c>
      <c r="P43" s="41"/>
      <c r="Q43" s="108" t="s">
        <v>50</v>
      </c>
      <c r="R43" s="179" t="s">
        <v>92</v>
      </c>
      <c r="S43" s="186" t="str">
        <f t="shared" ref="S43:S46" si="177">CONCATENATE(Q43,R43,Y43)</f>
        <v>CPD2009</v>
      </c>
      <c r="T43"/>
      <c r="U43"/>
      <c r="V43"/>
      <c r="W43"/>
      <c r="X43"/>
      <c r="Y43" s="85">
        <v>2009</v>
      </c>
      <c r="Z43" s="2">
        <f t="shared" ref="Z43:Z46" si="178">IF($Q43="B", (G43*$N43),0)</f>
        <v>0</v>
      </c>
      <c r="AA43" s="2">
        <f t="shared" ref="AA43:AA46" si="179">IF($Q43="B", (H43*$N43),0)</f>
        <v>0</v>
      </c>
      <c r="AB43" s="2">
        <f t="shared" ref="AB43:AB46" si="180">IF($Q43="B", (I43*$N43),0)</f>
        <v>0</v>
      </c>
      <c r="AC43" s="2">
        <f t="shared" ref="AC43:AC46" si="181">IF($Q43="B", (J43*$N43),0)</f>
        <v>0</v>
      </c>
      <c r="AD43" s="2">
        <f t="shared" ref="AD43:AD46" si="182">IF($Q43="B", (K43*$N43),0)</f>
        <v>0</v>
      </c>
      <c r="AE43" s="3">
        <f t="shared" ref="AE43:AE46" si="183">IF($Q43="B", (F43*$N43),0)</f>
        <v>0</v>
      </c>
      <c r="AF43" s="73"/>
      <c r="AG43" s="2"/>
      <c r="AH43" s="2"/>
      <c r="AJ43" s="80">
        <f t="shared" ref="AJ43:AJ46" si="184">IF($Q43="C", (G43*$N43),0)</f>
        <v>0</v>
      </c>
      <c r="AK43" s="10">
        <f t="shared" ref="AK43:AK46" si="185">IF($Q43="C", (H43*$N43),0)</f>
        <v>0</v>
      </c>
      <c r="AL43" s="10">
        <f t="shared" ref="AL43:AL46" si="186">IF($Q43="C", (I43*$N43),0)</f>
        <v>0</v>
      </c>
      <c r="AM43" s="10">
        <f t="shared" ref="AM43:AM46" si="187">IF($Q43="C", (J43*$N43),0)</f>
        <v>0</v>
      </c>
      <c r="AN43" s="10">
        <f t="shared" ref="AN43:AN46" si="188">IF($Q43="C", (K43*$N43),0)</f>
        <v>0</v>
      </c>
      <c r="AO43" s="2">
        <f t="shared" ref="AO43:AO46" si="189">IF($Q43="C", (F43*$N43),0)</f>
        <v>0</v>
      </c>
      <c r="AP43" s="73"/>
    </row>
    <row r="44" spans="1:42">
      <c r="A44" s="102" t="s">
        <v>189</v>
      </c>
      <c r="B44" s="40" t="s">
        <v>7</v>
      </c>
      <c r="C44">
        <v>5</v>
      </c>
      <c r="D44" s="40" t="s">
        <v>41</v>
      </c>
      <c r="E44" s="31">
        <v>8</v>
      </c>
      <c r="F44" s="128">
        <f t="shared" si="174"/>
        <v>40</v>
      </c>
      <c r="G44" s="139">
        <v>8</v>
      </c>
      <c r="H44" s="139">
        <v>2</v>
      </c>
      <c r="I44" s="139">
        <v>0</v>
      </c>
      <c r="J44" s="139">
        <v>0</v>
      </c>
      <c r="K44" s="140">
        <v>0</v>
      </c>
      <c r="L44" t="s">
        <v>8</v>
      </c>
      <c r="M44" s="31">
        <f t="shared" si="175"/>
        <v>0</v>
      </c>
      <c r="N44" s="242">
        <v>0</v>
      </c>
      <c r="O44" s="41">
        <f t="shared" si="176"/>
        <v>0</v>
      </c>
      <c r="P44" s="41"/>
      <c r="Q44" s="108" t="s">
        <v>50</v>
      </c>
      <c r="R44" s="179" t="s">
        <v>92</v>
      </c>
      <c r="S44" s="186" t="str">
        <f t="shared" si="177"/>
        <v>CPD2009</v>
      </c>
      <c r="T44"/>
      <c r="U44"/>
      <c r="V44"/>
      <c r="W44"/>
      <c r="X44"/>
      <c r="Y44" s="85">
        <v>2009</v>
      </c>
      <c r="Z44" s="2">
        <f t="shared" si="178"/>
        <v>0</v>
      </c>
      <c r="AA44" s="2">
        <f t="shared" si="179"/>
        <v>0</v>
      </c>
      <c r="AB44" s="2">
        <f t="shared" si="180"/>
        <v>0</v>
      </c>
      <c r="AC44" s="2">
        <f t="shared" si="181"/>
        <v>0</v>
      </c>
      <c r="AD44" s="2">
        <f t="shared" si="182"/>
        <v>0</v>
      </c>
      <c r="AE44" s="3">
        <f t="shared" si="183"/>
        <v>0</v>
      </c>
      <c r="AF44" s="73"/>
      <c r="AG44" s="2"/>
      <c r="AH44" s="2"/>
      <c r="AJ44" s="80">
        <f t="shared" si="184"/>
        <v>0</v>
      </c>
      <c r="AK44" s="10">
        <f t="shared" si="185"/>
        <v>0</v>
      </c>
      <c r="AL44" s="10">
        <f t="shared" si="186"/>
        <v>0</v>
      </c>
      <c r="AM44" s="10">
        <f t="shared" si="187"/>
        <v>0</v>
      </c>
      <c r="AN44" s="10">
        <f t="shared" si="188"/>
        <v>0</v>
      </c>
      <c r="AO44" s="2">
        <f t="shared" si="189"/>
        <v>0</v>
      </c>
      <c r="AP44" s="73"/>
    </row>
    <row r="45" spans="1:42">
      <c r="A45" s="102" t="s">
        <v>190</v>
      </c>
      <c r="B45" s="40" t="s">
        <v>7</v>
      </c>
      <c r="C45">
        <v>5</v>
      </c>
      <c r="D45" s="40" t="s">
        <v>41</v>
      </c>
      <c r="E45" s="31">
        <v>8</v>
      </c>
      <c r="F45" s="128">
        <f t="shared" si="174"/>
        <v>40</v>
      </c>
      <c r="G45" s="139">
        <v>16</v>
      </c>
      <c r="H45" s="139">
        <v>0</v>
      </c>
      <c r="I45" s="139">
        <v>0</v>
      </c>
      <c r="J45" s="139">
        <v>2</v>
      </c>
      <c r="K45" s="140">
        <v>0</v>
      </c>
      <c r="L45" t="s">
        <v>8</v>
      </c>
      <c r="M45" s="31">
        <f t="shared" si="175"/>
        <v>0</v>
      </c>
      <c r="N45" s="242">
        <v>0</v>
      </c>
      <c r="O45" s="41">
        <f t="shared" si="176"/>
        <v>0</v>
      </c>
      <c r="P45" s="41"/>
      <c r="Q45" s="108" t="s">
        <v>50</v>
      </c>
      <c r="R45" s="179" t="s">
        <v>92</v>
      </c>
      <c r="S45" s="186" t="str">
        <f t="shared" si="177"/>
        <v>CPD2009</v>
      </c>
      <c r="T45"/>
      <c r="U45"/>
      <c r="V45"/>
      <c r="W45"/>
      <c r="X45"/>
      <c r="Y45" s="85">
        <v>2009</v>
      </c>
      <c r="Z45" s="2">
        <f t="shared" si="178"/>
        <v>0</v>
      </c>
      <c r="AA45" s="2">
        <f t="shared" si="179"/>
        <v>0</v>
      </c>
      <c r="AB45" s="2">
        <f t="shared" si="180"/>
        <v>0</v>
      </c>
      <c r="AC45" s="2">
        <f t="shared" si="181"/>
        <v>0</v>
      </c>
      <c r="AD45" s="2">
        <f t="shared" si="182"/>
        <v>0</v>
      </c>
      <c r="AE45" s="3">
        <f t="shared" si="183"/>
        <v>0</v>
      </c>
      <c r="AF45" s="73"/>
      <c r="AG45" s="2"/>
      <c r="AH45" s="2"/>
      <c r="AJ45" s="80">
        <f t="shared" si="184"/>
        <v>0</v>
      </c>
      <c r="AK45" s="10">
        <f t="shared" si="185"/>
        <v>0</v>
      </c>
      <c r="AL45" s="10">
        <f t="shared" si="186"/>
        <v>0</v>
      </c>
      <c r="AM45" s="10">
        <f t="shared" si="187"/>
        <v>0</v>
      </c>
      <c r="AN45" s="10">
        <f t="shared" si="188"/>
        <v>0</v>
      </c>
      <c r="AO45" s="2">
        <f t="shared" si="189"/>
        <v>0</v>
      </c>
      <c r="AP45" s="73"/>
    </row>
    <row r="46" spans="1:42">
      <c r="A46" s="102" t="s">
        <v>191</v>
      </c>
      <c r="B46" s="40" t="s">
        <v>7</v>
      </c>
      <c r="C46">
        <v>20</v>
      </c>
      <c r="D46" s="40" t="s">
        <v>41</v>
      </c>
      <c r="E46" s="31">
        <v>8</v>
      </c>
      <c r="F46" s="128">
        <f t="shared" si="174"/>
        <v>160</v>
      </c>
      <c r="G46" s="139">
        <v>24</v>
      </c>
      <c r="H46" s="139">
        <v>8</v>
      </c>
      <c r="I46" s="139">
        <v>0</v>
      </c>
      <c r="J46" s="139">
        <v>8</v>
      </c>
      <c r="K46" s="140">
        <v>0</v>
      </c>
      <c r="L46" t="s">
        <v>8</v>
      </c>
      <c r="M46" s="31">
        <f t="shared" si="175"/>
        <v>0</v>
      </c>
      <c r="N46" s="242">
        <v>0</v>
      </c>
      <c r="O46" s="41">
        <f t="shared" si="176"/>
        <v>0</v>
      </c>
      <c r="P46" s="41"/>
      <c r="Q46" s="108" t="s">
        <v>50</v>
      </c>
      <c r="R46" s="179" t="s">
        <v>92</v>
      </c>
      <c r="S46" s="186" t="str">
        <f t="shared" si="177"/>
        <v>CPD2009</v>
      </c>
      <c r="T46"/>
      <c r="U46"/>
      <c r="V46"/>
      <c r="W46"/>
      <c r="X46"/>
      <c r="Y46" s="85">
        <v>2009</v>
      </c>
      <c r="Z46" s="2">
        <f t="shared" si="178"/>
        <v>0</v>
      </c>
      <c r="AA46" s="2">
        <f t="shared" si="179"/>
        <v>0</v>
      </c>
      <c r="AB46" s="2">
        <f t="shared" si="180"/>
        <v>0</v>
      </c>
      <c r="AC46" s="2">
        <f t="shared" si="181"/>
        <v>0</v>
      </c>
      <c r="AD46" s="2">
        <f t="shared" si="182"/>
        <v>0</v>
      </c>
      <c r="AE46" s="3">
        <f t="shared" si="183"/>
        <v>0</v>
      </c>
      <c r="AF46" s="73"/>
      <c r="AG46" s="2"/>
      <c r="AH46" s="2"/>
      <c r="AJ46" s="80">
        <f t="shared" si="184"/>
        <v>0</v>
      </c>
      <c r="AK46" s="10">
        <f t="shared" si="185"/>
        <v>0</v>
      </c>
      <c r="AL46" s="10">
        <f t="shared" si="186"/>
        <v>0</v>
      </c>
      <c r="AM46" s="10">
        <f t="shared" si="187"/>
        <v>0</v>
      </c>
      <c r="AN46" s="10">
        <f t="shared" si="188"/>
        <v>0</v>
      </c>
      <c r="AO46" s="2">
        <f t="shared" si="189"/>
        <v>0</v>
      </c>
      <c r="AP46" s="73"/>
    </row>
    <row r="47" spans="1:42">
      <c r="A47" s="102" t="s">
        <v>192</v>
      </c>
      <c r="B47" s="40" t="s">
        <v>7</v>
      </c>
      <c r="C47">
        <v>40</v>
      </c>
      <c r="D47" s="40" t="s">
        <v>41</v>
      </c>
      <c r="E47" s="31">
        <v>8</v>
      </c>
      <c r="F47" s="128">
        <f t="shared" ref="F47:F49" si="190">E47*C47</f>
        <v>320</v>
      </c>
      <c r="G47" s="139">
        <v>24</v>
      </c>
      <c r="H47" s="139">
        <v>4</v>
      </c>
      <c r="I47" s="139">
        <v>0</v>
      </c>
      <c r="J47" s="139">
        <v>8</v>
      </c>
      <c r="K47" s="140">
        <v>0</v>
      </c>
      <c r="L47" t="s">
        <v>8</v>
      </c>
      <c r="M47" s="31">
        <f t="shared" ref="M47:M49" si="191">((Shop*G47)+(M_Tech*H47)+(CMM*I47)+(ENG*J47)+(DES*K47))*N47</f>
        <v>0</v>
      </c>
      <c r="N47" s="242">
        <v>0</v>
      </c>
      <c r="O47" s="41">
        <f t="shared" ref="O47:O49" si="192">M47+(N47*F47)</f>
        <v>0</v>
      </c>
      <c r="P47" s="41"/>
      <c r="Q47" s="108" t="s">
        <v>49</v>
      </c>
      <c r="R47" s="179" t="s">
        <v>92</v>
      </c>
      <c r="S47" s="186" t="str">
        <f t="shared" ref="S47:S49" si="193">CONCATENATE(Q47,R47,Y47)</f>
        <v>BPD2009</v>
      </c>
      <c r="T47"/>
      <c r="U47"/>
      <c r="V47"/>
      <c r="W47"/>
      <c r="X47"/>
      <c r="Y47" s="85">
        <v>2009</v>
      </c>
      <c r="Z47" s="2">
        <f t="shared" ref="Z47:Z49" si="194">IF($Q47="B", (G47*$N47),0)</f>
        <v>0</v>
      </c>
      <c r="AA47" s="2">
        <f t="shared" ref="AA47:AA49" si="195">IF($Q47="B", (H47*$N47),0)</f>
        <v>0</v>
      </c>
      <c r="AB47" s="2">
        <f t="shared" ref="AB47:AB49" si="196">IF($Q47="B", (I47*$N47),0)</f>
        <v>0</v>
      </c>
      <c r="AC47" s="2">
        <f t="shared" ref="AC47:AC49" si="197">IF($Q47="B", (J47*$N47),0)</f>
        <v>0</v>
      </c>
      <c r="AD47" s="2">
        <f t="shared" ref="AD47:AD49" si="198">IF($Q47="B", (K47*$N47),0)</f>
        <v>0</v>
      </c>
      <c r="AE47" s="3">
        <f t="shared" ref="AE47:AE49" si="199">IF($Q47="B", (F47*$N47),0)</f>
        <v>0</v>
      </c>
      <c r="AF47" s="73"/>
      <c r="AG47" s="2"/>
      <c r="AH47" s="2"/>
      <c r="AJ47" s="80">
        <f t="shared" ref="AJ47:AJ49" si="200">IF($Q47="C", (G47*$N47),0)</f>
        <v>0</v>
      </c>
      <c r="AK47" s="10">
        <f t="shared" ref="AK47:AK49" si="201">IF($Q47="C", (H47*$N47),0)</f>
        <v>0</v>
      </c>
      <c r="AL47" s="10">
        <f t="shared" ref="AL47:AL49" si="202">IF($Q47="C", (I47*$N47),0)</f>
        <v>0</v>
      </c>
      <c r="AM47" s="10">
        <f t="shared" ref="AM47:AM49" si="203">IF($Q47="C", (J47*$N47),0)</f>
        <v>0</v>
      </c>
      <c r="AN47" s="10">
        <f t="shared" ref="AN47:AN49" si="204">IF($Q47="C", (K47*$N47),0)</f>
        <v>0</v>
      </c>
      <c r="AO47" s="2">
        <f t="shared" ref="AO47:AO49" si="205">IF($Q47="C", (F47*$N47),0)</f>
        <v>0</v>
      </c>
      <c r="AP47" s="73"/>
    </row>
    <row r="48" spans="1:42">
      <c r="A48" s="102" t="s">
        <v>193</v>
      </c>
      <c r="B48" s="40" t="s">
        <v>7</v>
      </c>
      <c r="C48">
        <v>10</v>
      </c>
      <c r="D48" s="40" t="s">
        <v>41</v>
      </c>
      <c r="E48" s="31">
        <v>8</v>
      </c>
      <c r="F48" s="128">
        <f t="shared" si="190"/>
        <v>80</v>
      </c>
      <c r="G48" s="139">
        <v>8</v>
      </c>
      <c r="H48" s="139">
        <v>2</v>
      </c>
      <c r="I48" s="139">
        <v>0</v>
      </c>
      <c r="J48" s="139">
        <v>0</v>
      </c>
      <c r="K48" s="140">
        <v>0</v>
      </c>
      <c r="L48" t="s">
        <v>8</v>
      </c>
      <c r="M48" s="31">
        <f t="shared" si="191"/>
        <v>0</v>
      </c>
      <c r="N48" s="242">
        <v>0</v>
      </c>
      <c r="O48" s="41">
        <f t="shared" si="192"/>
        <v>0</v>
      </c>
      <c r="P48" s="41"/>
      <c r="Q48" s="108" t="s">
        <v>49</v>
      </c>
      <c r="R48" s="179" t="s">
        <v>92</v>
      </c>
      <c r="S48" s="186" t="str">
        <f t="shared" si="193"/>
        <v>BPD2009</v>
      </c>
      <c r="T48"/>
      <c r="U48"/>
      <c r="V48"/>
      <c r="W48"/>
      <c r="X48"/>
      <c r="Y48" s="85">
        <v>2009</v>
      </c>
      <c r="Z48" s="2">
        <f t="shared" si="194"/>
        <v>0</v>
      </c>
      <c r="AA48" s="2">
        <f t="shared" si="195"/>
        <v>0</v>
      </c>
      <c r="AB48" s="2">
        <f t="shared" si="196"/>
        <v>0</v>
      </c>
      <c r="AC48" s="2">
        <f t="shared" si="197"/>
        <v>0</v>
      </c>
      <c r="AD48" s="2">
        <f t="shared" si="198"/>
        <v>0</v>
      </c>
      <c r="AE48" s="3">
        <f t="shared" si="199"/>
        <v>0</v>
      </c>
      <c r="AF48" s="73"/>
      <c r="AG48" s="2"/>
      <c r="AH48" s="2"/>
      <c r="AJ48" s="80">
        <f t="shared" si="200"/>
        <v>0</v>
      </c>
      <c r="AK48" s="10">
        <f t="shared" si="201"/>
        <v>0</v>
      </c>
      <c r="AL48" s="10">
        <f t="shared" si="202"/>
        <v>0</v>
      </c>
      <c r="AM48" s="10">
        <f t="shared" si="203"/>
        <v>0</v>
      </c>
      <c r="AN48" s="10">
        <f t="shared" si="204"/>
        <v>0</v>
      </c>
      <c r="AO48" s="2">
        <f t="shared" si="205"/>
        <v>0</v>
      </c>
      <c r="AP48" s="73"/>
    </row>
    <row r="49" spans="1:42">
      <c r="A49" s="102" t="s">
        <v>194</v>
      </c>
      <c r="B49" s="40" t="s">
        <v>7</v>
      </c>
      <c r="C49">
        <v>5</v>
      </c>
      <c r="D49" s="40" t="s">
        <v>41</v>
      </c>
      <c r="E49" s="31">
        <v>8</v>
      </c>
      <c r="F49" s="128">
        <f t="shared" si="190"/>
        <v>40</v>
      </c>
      <c r="G49" s="139">
        <v>16</v>
      </c>
      <c r="H49" s="139">
        <v>0</v>
      </c>
      <c r="I49" s="139">
        <v>0</v>
      </c>
      <c r="J49" s="139">
        <v>2</v>
      </c>
      <c r="K49" s="140">
        <v>0</v>
      </c>
      <c r="L49" t="s">
        <v>8</v>
      </c>
      <c r="M49" s="31">
        <f t="shared" si="191"/>
        <v>0</v>
      </c>
      <c r="N49" s="242">
        <v>0</v>
      </c>
      <c r="O49" s="41">
        <f t="shared" si="192"/>
        <v>0</v>
      </c>
      <c r="P49" s="41"/>
      <c r="Q49" s="108" t="s">
        <v>49</v>
      </c>
      <c r="R49" s="179" t="s">
        <v>92</v>
      </c>
      <c r="S49" s="186" t="str">
        <f t="shared" si="193"/>
        <v>BPD2009</v>
      </c>
      <c r="T49"/>
      <c r="U49"/>
      <c r="V49"/>
      <c r="W49"/>
      <c r="X49"/>
      <c r="Y49" s="85">
        <v>2009</v>
      </c>
      <c r="Z49" s="2">
        <f t="shared" si="194"/>
        <v>0</v>
      </c>
      <c r="AA49" s="2">
        <f t="shared" si="195"/>
        <v>0</v>
      </c>
      <c r="AB49" s="2">
        <f t="shared" si="196"/>
        <v>0</v>
      </c>
      <c r="AC49" s="2">
        <f t="shared" si="197"/>
        <v>0</v>
      </c>
      <c r="AD49" s="2">
        <f t="shared" si="198"/>
        <v>0</v>
      </c>
      <c r="AE49" s="3">
        <f t="shared" si="199"/>
        <v>0</v>
      </c>
      <c r="AF49" s="73"/>
      <c r="AG49" s="2"/>
      <c r="AH49" s="2"/>
      <c r="AJ49" s="80">
        <f t="shared" si="200"/>
        <v>0</v>
      </c>
      <c r="AK49" s="10">
        <f t="shared" si="201"/>
        <v>0</v>
      </c>
      <c r="AL49" s="10">
        <f t="shared" si="202"/>
        <v>0</v>
      </c>
      <c r="AM49" s="10">
        <f t="shared" si="203"/>
        <v>0</v>
      </c>
      <c r="AN49" s="10">
        <f t="shared" si="204"/>
        <v>0</v>
      </c>
      <c r="AO49" s="2">
        <f t="shared" si="205"/>
        <v>0</v>
      </c>
      <c r="AP49" s="73"/>
    </row>
    <row r="50" spans="1:42">
      <c r="A50" s="103" t="s">
        <v>133</v>
      </c>
      <c r="E50" s="120"/>
      <c r="F50" s="129"/>
      <c r="G50" s="143"/>
      <c r="H50" s="143"/>
      <c r="I50" s="143"/>
      <c r="J50" s="143"/>
      <c r="K50" s="144"/>
      <c r="L50" s="169" t="s">
        <v>79</v>
      </c>
      <c r="M50" s="170">
        <f>SUMIF(Q35:Q49,"B",M35:M49)</f>
        <v>26140</v>
      </c>
      <c r="N50" s="169" t="s">
        <v>79</v>
      </c>
      <c r="O50" s="41"/>
      <c r="P50" s="41"/>
      <c r="Q50" s="108"/>
      <c r="R50" s="179"/>
      <c r="S50" s="186"/>
      <c r="T50"/>
      <c r="U50"/>
      <c r="V50"/>
      <c r="W50"/>
      <c r="X50"/>
      <c r="Y50" s="85"/>
      <c r="Z50" s="10"/>
      <c r="AA50" s="10"/>
      <c r="AB50" s="29"/>
      <c r="AC50" s="10"/>
      <c r="AD50" s="10"/>
      <c r="AE50" s="3"/>
      <c r="AF50" s="73"/>
      <c r="AG50" s="2"/>
      <c r="AH50" s="2"/>
      <c r="AJ50" s="80"/>
      <c r="AK50" s="10"/>
      <c r="AL50" s="10"/>
      <c r="AM50" s="10"/>
      <c r="AN50" s="10"/>
      <c r="AO50" s="2"/>
      <c r="AP50" s="73"/>
    </row>
    <row r="51" spans="1:42">
      <c r="A51" s="102" t="s">
        <v>199</v>
      </c>
      <c r="B51" s="40" t="s">
        <v>72</v>
      </c>
      <c r="C51">
        <v>0</v>
      </c>
      <c r="D51" s="40" t="s">
        <v>9</v>
      </c>
      <c r="E51" s="31">
        <v>0</v>
      </c>
      <c r="F51" s="128">
        <f t="shared" ref="F51:F62" si="206">E51*C51</f>
        <v>0</v>
      </c>
      <c r="G51" s="139">
        <v>4</v>
      </c>
      <c r="H51" s="243">
        <v>10</v>
      </c>
      <c r="I51" s="139">
        <v>0</v>
      </c>
      <c r="J51" s="139">
        <v>2</v>
      </c>
      <c r="K51" s="140">
        <v>0</v>
      </c>
      <c r="L51" t="s">
        <v>8</v>
      </c>
      <c r="M51" s="31">
        <f t="shared" ref="M51:M62" si="207">((Shop*G51)+(M_Tech*H51)+(CMM*I51)+(ENG*J51)+(DES*K51))*N51</f>
        <v>7912</v>
      </c>
      <c r="N51">
        <v>4</v>
      </c>
      <c r="O51" s="41">
        <f t="shared" ref="O51:O62" si="208">M51+(N51*F51)</f>
        <v>7912</v>
      </c>
      <c r="P51" s="41"/>
      <c r="Q51" s="108" t="s">
        <v>49</v>
      </c>
      <c r="R51" s="179" t="s">
        <v>92</v>
      </c>
      <c r="S51" s="186" t="str">
        <f t="shared" ref="S51:S56" si="209">CONCATENATE(Q51,R51,Y51)</f>
        <v>BPD2009</v>
      </c>
      <c r="T51"/>
      <c r="U51"/>
      <c r="V51"/>
      <c r="W51"/>
      <c r="X51"/>
      <c r="Y51" s="85">
        <v>2009</v>
      </c>
      <c r="Z51" s="2">
        <f t="shared" ref="Z51:Z56" si="210">IF($Q51="B", (G51*$N51),0)</f>
        <v>16</v>
      </c>
      <c r="AA51" s="2">
        <f t="shared" ref="AA51:AA56" si="211">IF($Q51="B", (H51*$N51),0)</f>
        <v>40</v>
      </c>
      <c r="AB51" s="2">
        <f t="shared" ref="AB51:AB56" si="212">IF($Q51="B", (I51*$N51),0)</f>
        <v>0</v>
      </c>
      <c r="AC51" s="2">
        <f t="shared" ref="AC51:AC56" si="213">IF($Q51="B", (J51*$N51),0)</f>
        <v>8</v>
      </c>
      <c r="AD51" s="2">
        <f t="shared" ref="AD51:AD56" si="214">IF($Q51="B", (K51*$N51),0)</f>
        <v>0</v>
      </c>
      <c r="AE51" s="3">
        <f t="shared" ref="AE51:AE56" si="215">IF($Q51="B", (F51*$N51),0)</f>
        <v>0</v>
      </c>
      <c r="AF51" s="73"/>
      <c r="AG51" s="2"/>
      <c r="AH51" s="2"/>
      <c r="AJ51" s="80">
        <f t="shared" ref="AJ51:AJ56" si="216">IF($Q51="C", (G51*$N51),0)</f>
        <v>0</v>
      </c>
      <c r="AK51" s="10">
        <f t="shared" ref="AK51:AK56" si="217">IF($Q51="C", (H51*$N51),0)</f>
        <v>0</v>
      </c>
      <c r="AL51" s="10">
        <f t="shared" ref="AL51:AL56" si="218">IF($Q51="C", (I51*$N51),0)</f>
        <v>0</v>
      </c>
      <c r="AM51" s="10">
        <f t="shared" ref="AM51:AM56" si="219">IF($Q51="C", (J51*$N51),0)</f>
        <v>0</v>
      </c>
      <c r="AN51" s="10">
        <f t="shared" ref="AN51:AN56" si="220">IF($Q51="C", (K51*$N51),0)</f>
        <v>0</v>
      </c>
      <c r="AO51" s="2">
        <f t="shared" ref="AO51:AO56" si="221">IF($Q51="C", (F51*$N51),0)</f>
        <v>0</v>
      </c>
      <c r="AP51" s="73"/>
    </row>
    <row r="52" spans="1:42">
      <c r="A52" s="102" t="s">
        <v>204</v>
      </c>
      <c r="B52" s="40" t="s">
        <v>72</v>
      </c>
      <c r="C52">
        <v>0</v>
      </c>
      <c r="D52" s="40" t="s">
        <v>9</v>
      </c>
      <c r="E52" s="31">
        <v>0</v>
      </c>
      <c r="F52" s="128">
        <f t="shared" si="206"/>
        <v>0</v>
      </c>
      <c r="G52" s="139">
        <v>4</v>
      </c>
      <c r="H52" s="243">
        <v>10</v>
      </c>
      <c r="I52" s="139">
        <v>0</v>
      </c>
      <c r="J52" s="139">
        <v>2</v>
      </c>
      <c r="K52" s="140">
        <v>0</v>
      </c>
      <c r="L52" t="s">
        <v>8</v>
      </c>
      <c r="M52" s="31">
        <f t="shared" si="207"/>
        <v>7912</v>
      </c>
      <c r="N52">
        <v>4</v>
      </c>
      <c r="O52" s="41">
        <f t="shared" si="208"/>
        <v>7912</v>
      </c>
      <c r="P52" s="41"/>
      <c r="Q52" s="108" t="s">
        <v>49</v>
      </c>
      <c r="R52" s="179" t="s">
        <v>92</v>
      </c>
      <c r="S52" s="186" t="str">
        <f t="shared" si="209"/>
        <v>BPD2009</v>
      </c>
      <c r="T52"/>
      <c r="U52"/>
      <c r="V52"/>
      <c r="W52"/>
      <c r="X52"/>
      <c r="Y52" s="85">
        <v>2009</v>
      </c>
      <c r="Z52" s="2">
        <f t="shared" si="210"/>
        <v>16</v>
      </c>
      <c r="AA52" s="2">
        <f t="shared" si="211"/>
        <v>40</v>
      </c>
      <c r="AB52" s="2">
        <f t="shared" si="212"/>
        <v>0</v>
      </c>
      <c r="AC52" s="2">
        <f t="shared" si="213"/>
        <v>8</v>
      </c>
      <c r="AD52" s="2">
        <f t="shared" si="214"/>
        <v>0</v>
      </c>
      <c r="AE52" s="3">
        <f t="shared" si="215"/>
        <v>0</v>
      </c>
      <c r="AF52" s="73"/>
      <c r="AG52" s="2"/>
      <c r="AH52" s="2"/>
      <c r="AJ52" s="80">
        <f t="shared" si="216"/>
        <v>0</v>
      </c>
      <c r="AK52" s="10">
        <f t="shared" si="217"/>
        <v>0</v>
      </c>
      <c r="AL52" s="10">
        <f t="shared" si="218"/>
        <v>0</v>
      </c>
      <c r="AM52" s="10">
        <f t="shared" si="219"/>
        <v>0</v>
      </c>
      <c r="AN52" s="10">
        <f t="shared" si="220"/>
        <v>0</v>
      </c>
      <c r="AO52" s="2">
        <f t="shared" si="221"/>
        <v>0</v>
      </c>
      <c r="AP52" s="73"/>
    </row>
    <row r="53" spans="1:42">
      <c r="A53" s="102" t="s">
        <v>203</v>
      </c>
      <c r="B53" s="40" t="s">
        <v>72</v>
      </c>
      <c r="C53">
        <v>0</v>
      </c>
      <c r="D53" s="40" t="s">
        <v>9</v>
      </c>
      <c r="E53" s="31">
        <v>0</v>
      </c>
      <c r="F53" s="128">
        <f t="shared" ref="F53:F54" si="222">E53*C53</f>
        <v>0</v>
      </c>
      <c r="G53" s="139">
        <v>4</v>
      </c>
      <c r="H53" s="139">
        <v>8</v>
      </c>
      <c r="I53" s="139">
        <v>0</v>
      </c>
      <c r="J53" s="139">
        <v>2</v>
      </c>
      <c r="K53" s="140">
        <v>0</v>
      </c>
      <c r="L53" t="s">
        <v>8</v>
      </c>
      <c r="M53" s="31">
        <f t="shared" ref="M53:M54" si="223">((Shop*G53)+(M_Tech*H53)+(CMM*I53)+(ENG*J53)+(DES*K53))*N53</f>
        <v>0</v>
      </c>
      <c r="N53" s="242">
        <v>0</v>
      </c>
      <c r="O53" s="41">
        <f t="shared" ref="O53:O54" si="224">M53+(N53*F53)</f>
        <v>0</v>
      </c>
      <c r="P53" s="41"/>
      <c r="Q53" s="108" t="s">
        <v>50</v>
      </c>
      <c r="R53" s="179" t="s">
        <v>92</v>
      </c>
      <c r="S53" s="186" t="str">
        <f t="shared" ref="S53:S54" si="225">CONCATENATE(Q53,R53,Y53)</f>
        <v>CPD2009</v>
      </c>
      <c r="T53"/>
      <c r="U53"/>
      <c r="V53"/>
      <c r="W53"/>
      <c r="X53"/>
      <c r="Y53" s="85">
        <v>2009</v>
      </c>
      <c r="Z53" s="2">
        <f t="shared" ref="Z53:Z54" si="226">IF($Q53="B", (G53*$N53),0)</f>
        <v>0</v>
      </c>
      <c r="AA53" s="2">
        <f t="shared" ref="AA53:AA54" si="227">IF($Q53="B", (H53*$N53),0)</f>
        <v>0</v>
      </c>
      <c r="AB53" s="2">
        <f t="shared" ref="AB53:AB54" si="228">IF($Q53="B", (I53*$N53),0)</f>
        <v>0</v>
      </c>
      <c r="AC53" s="2">
        <f t="shared" ref="AC53:AC54" si="229">IF($Q53="B", (J53*$N53),0)</f>
        <v>0</v>
      </c>
      <c r="AD53" s="2">
        <f t="shared" ref="AD53:AD54" si="230">IF($Q53="B", (K53*$N53),0)</f>
        <v>0</v>
      </c>
      <c r="AE53" s="3">
        <f t="shared" ref="AE53:AE54" si="231">IF($Q53="B", (F53*$N53),0)</f>
        <v>0</v>
      </c>
      <c r="AF53" s="73"/>
      <c r="AG53" s="2"/>
      <c r="AH53" s="2"/>
      <c r="AJ53" s="80">
        <f t="shared" ref="AJ53:AJ54" si="232">IF($Q53="C", (G53*$N53),0)</f>
        <v>0</v>
      </c>
      <c r="AK53" s="10">
        <f t="shared" ref="AK53:AK54" si="233">IF($Q53="C", (H53*$N53),0)</f>
        <v>0</v>
      </c>
      <c r="AL53" s="10">
        <f t="shared" ref="AL53:AL54" si="234">IF($Q53="C", (I53*$N53),0)</f>
        <v>0</v>
      </c>
      <c r="AM53" s="10">
        <f t="shared" ref="AM53:AM54" si="235">IF($Q53="C", (J53*$N53),0)</f>
        <v>0</v>
      </c>
      <c r="AN53" s="10">
        <f t="shared" ref="AN53:AN54" si="236">IF($Q53="C", (K53*$N53),0)</f>
        <v>0</v>
      </c>
      <c r="AO53" s="2">
        <f t="shared" ref="AO53:AO54" si="237">IF($Q53="C", (F53*$N53),0)</f>
        <v>0</v>
      </c>
      <c r="AP53" s="73"/>
    </row>
    <row r="54" spans="1:42">
      <c r="A54" s="102" t="s">
        <v>205</v>
      </c>
      <c r="B54" s="40" t="s">
        <v>72</v>
      </c>
      <c r="C54">
        <v>0</v>
      </c>
      <c r="D54" s="40" t="s">
        <v>9</v>
      </c>
      <c r="E54" s="31">
        <v>0</v>
      </c>
      <c r="F54" s="128">
        <f t="shared" si="222"/>
        <v>0</v>
      </c>
      <c r="G54" s="139">
        <v>4</v>
      </c>
      <c r="H54" s="139">
        <v>8</v>
      </c>
      <c r="I54" s="139">
        <v>0</v>
      </c>
      <c r="J54" s="139">
        <v>2</v>
      </c>
      <c r="K54" s="140">
        <v>0</v>
      </c>
      <c r="L54" t="s">
        <v>8</v>
      </c>
      <c r="M54" s="31">
        <f t="shared" si="223"/>
        <v>0</v>
      </c>
      <c r="N54" s="242">
        <v>0</v>
      </c>
      <c r="O54" s="41">
        <f t="shared" si="224"/>
        <v>0</v>
      </c>
      <c r="P54" s="41"/>
      <c r="Q54" s="108" t="s">
        <v>49</v>
      </c>
      <c r="R54" s="179" t="s">
        <v>92</v>
      </c>
      <c r="S54" s="186" t="str">
        <f t="shared" si="225"/>
        <v>BPD2009</v>
      </c>
      <c r="T54"/>
      <c r="U54"/>
      <c r="V54"/>
      <c r="W54"/>
      <c r="X54"/>
      <c r="Y54" s="85">
        <v>2009</v>
      </c>
      <c r="Z54" s="2">
        <f t="shared" si="226"/>
        <v>0</v>
      </c>
      <c r="AA54" s="2">
        <f t="shared" si="227"/>
        <v>0</v>
      </c>
      <c r="AB54" s="2">
        <f t="shared" si="228"/>
        <v>0</v>
      </c>
      <c r="AC54" s="2">
        <f t="shared" si="229"/>
        <v>0</v>
      </c>
      <c r="AD54" s="2">
        <f t="shared" si="230"/>
        <v>0</v>
      </c>
      <c r="AE54" s="3">
        <f t="shared" si="231"/>
        <v>0</v>
      </c>
      <c r="AF54" s="73"/>
      <c r="AG54" s="2"/>
      <c r="AH54" s="2"/>
      <c r="AJ54" s="80">
        <f t="shared" si="232"/>
        <v>0</v>
      </c>
      <c r="AK54" s="10">
        <f t="shared" si="233"/>
        <v>0</v>
      </c>
      <c r="AL54" s="10">
        <f t="shared" si="234"/>
        <v>0</v>
      </c>
      <c r="AM54" s="10">
        <f t="shared" si="235"/>
        <v>0</v>
      </c>
      <c r="AN54" s="10">
        <f t="shared" si="236"/>
        <v>0</v>
      </c>
      <c r="AO54" s="2">
        <f t="shared" si="237"/>
        <v>0</v>
      </c>
      <c r="AP54" s="73"/>
    </row>
    <row r="55" spans="1:42">
      <c r="A55" s="102" t="s">
        <v>201</v>
      </c>
      <c r="B55" s="40" t="s">
        <v>72</v>
      </c>
      <c r="C55">
        <v>0</v>
      </c>
      <c r="D55" s="40" t="s">
        <v>9</v>
      </c>
      <c r="E55" s="31">
        <v>0</v>
      </c>
      <c r="F55" s="128">
        <f t="shared" si="206"/>
        <v>0</v>
      </c>
      <c r="G55" s="139">
        <v>0</v>
      </c>
      <c r="H55" s="243">
        <v>10</v>
      </c>
      <c r="I55" s="139">
        <v>0</v>
      </c>
      <c r="J55" s="243">
        <v>2</v>
      </c>
      <c r="K55" s="140">
        <v>0</v>
      </c>
      <c r="L55" t="s">
        <v>8</v>
      </c>
      <c r="M55" s="31">
        <f t="shared" si="207"/>
        <v>5880</v>
      </c>
      <c r="N55">
        <v>4</v>
      </c>
      <c r="O55" s="41">
        <f t="shared" si="208"/>
        <v>5880</v>
      </c>
      <c r="P55" s="41"/>
      <c r="Q55" s="108" t="s">
        <v>49</v>
      </c>
      <c r="R55" s="179" t="s">
        <v>92</v>
      </c>
      <c r="S55" s="186" t="str">
        <f t="shared" si="209"/>
        <v>BPD2009</v>
      </c>
      <c r="T55"/>
      <c r="U55"/>
      <c r="V55"/>
      <c r="W55"/>
      <c r="X55"/>
      <c r="Y55" s="85">
        <v>2009</v>
      </c>
      <c r="Z55" s="2">
        <f t="shared" si="210"/>
        <v>0</v>
      </c>
      <c r="AA55" s="2">
        <f t="shared" si="211"/>
        <v>40</v>
      </c>
      <c r="AB55" s="2">
        <f t="shared" si="212"/>
        <v>0</v>
      </c>
      <c r="AC55" s="2">
        <f t="shared" si="213"/>
        <v>8</v>
      </c>
      <c r="AD55" s="2">
        <f t="shared" si="214"/>
        <v>0</v>
      </c>
      <c r="AE55" s="3">
        <f t="shared" si="215"/>
        <v>0</v>
      </c>
      <c r="AF55" s="73"/>
      <c r="AG55" s="2"/>
      <c r="AH55" s="2"/>
      <c r="AJ55" s="80">
        <f t="shared" si="216"/>
        <v>0</v>
      </c>
      <c r="AK55" s="10">
        <f t="shared" si="217"/>
        <v>0</v>
      </c>
      <c r="AL55" s="10">
        <f t="shared" si="218"/>
        <v>0</v>
      </c>
      <c r="AM55" s="10">
        <f t="shared" si="219"/>
        <v>0</v>
      </c>
      <c r="AN55" s="10">
        <f t="shared" si="220"/>
        <v>0</v>
      </c>
      <c r="AO55" s="2">
        <f t="shared" si="221"/>
        <v>0</v>
      </c>
      <c r="AP55" s="73"/>
    </row>
    <row r="56" spans="1:42">
      <c r="A56" s="102" t="s">
        <v>202</v>
      </c>
      <c r="B56" s="40" t="s">
        <v>72</v>
      </c>
      <c r="C56">
        <v>0</v>
      </c>
      <c r="D56" s="40" t="s">
        <v>9</v>
      </c>
      <c r="E56" s="31">
        <v>0</v>
      </c>
      <c r="F56" s="128">
        <f t="shared" si="206"/>
        <v>0</v>
      </c>
      <c r="G56" s="139">
        <v>0</v>
      </c>
      <c r="H56" s="243">
        <v>10</v>
      </c>
      <c r="I56" s="139">
        <v>0</v>
      </c>
      <c r="J56" s="243">
        <v>2</v>
      </c>
      <c r="K56" s="140">
        <v>0</v>
      </c>
      <c r="L56" t="s">
        <v>8</v>
      </c>
      <c r="M56" s="31">
        <f t="shared" si="207"/>
        <v>5880</v>
      </c>
      <c r="N56">
        <v>4</v>
      </c>
      <c r="O56" s="41">
        <f t="shared" si="208"/>
        <v>5880</v>
      </c>
      <c r="P56" s="41"/>
      <c r="Q56" s="108" t="s">
        <v>49</v>
      </c>
      <c r="R56" s="179" t="s">
        <v>92</v>
      </c>
      <c r="S56" s="186" t="str">
        <f t="shared" si="209"/>
        <v>BPD2009</v>
      </c>
      <c r="T56"/>
      <c r="U56"/>
      <c r="V56"/>
      <c r="W56"/>
      <c r="X56"/>
      <c r="Y56" s="85">
        <v>2009</v>
      </c>
      <c r="Z56" s="2">
        <f t="shared" si="210"/>
        <v>0</v>
      </c>
      <c r="AA56" s="2">
        <f t="shared" si="211"/>
        <v>40</v>
      </c>
      <c r="AB56" s="2">
        <f t="shared" si="212"/>
        <v>0</v>
      </c>
      <c r="AC56" s="2">
        <f t="shared" si="213"/>
        <v>8</v>
      </c>
      <c r="AD56" s="2">
        <f t="shared" si="214"/>
        <v>0</v>
      </c>
      <c r="AE56" s="3">
        <f t="shared" si="215"/>
        <v>0</v>
      </c>
      <c r="AF56" s="73"/>
      <c r="AG56" s="2"/>
      <c r="AH56" s="2"/>
      <c r="AJ56" s="80">
        <f t="shared" si="216"/>
        <v>0</v>
      </c>
      <c r="AK56" s="10">
        <f t="shared" si="217"/>
        <v>0</v>
      </c>
      <c r="AL56" s="10">
        <f t="shared" si="218"/>
        <v>0</v>
      </c>
      <c r="AM56" s="10">
        <f t="shared" si="219"/>
        <v>0</v>
      </c>
      <c r="AN56" s="10">
        <f t="shared" si="220"/>
        <v>0</v>
      </c>
      <c r="AO56" s="2">
        <f t="shared" si="221"/>
        <v>0</v>
      </c>
      <c r="AP56" s="73"/>
    </row>
    <row r="57" spans="1:42">
      <c r="A57" s="102" t="s">
        <v>206</v>
      </c>
      <c r="B57" s="40" t="s">
        <v>72</v>
      </c>
      <c r="C57">
        <v>0</v>
      </c>
      <c r="D57" s="40" t="s">
        <v>9</v>
      </c>
      <c r="E57" s="31">
        <v>0</v>
      </c>
      <c r="F57" s="128">
        <f t="shared" ref="F57" si="238">E57*C57</f>
        <v>0</v>
      </c>
      <c r="G57" s="139">
        <v>0</v>
      </c>
      <c r="H57" s="139">
        <v>8</v>
      </c>
      <c r="I57" s="139">
        <v>0</v>
      </c>
      <c r="J57" s="139">
        <v>1</v>
      </c>
      <c r="K57" s="140">
        <v>0</v>
      </c>
      <c r="L57" t="s">
        <v>8</v>
      </c>
      <c r="M57" s="31">
        <f t="shared" ref="M57" si="239">((Shop*G57)+(M_Tech*H57)+(CMM*I57)+(ENG*J57)+(DES*K57))*N57</f>
        <v>0</v>
      </c>
      <c r="N57" s="242">
        <v>0</v>
      </c>
      <c r="O57" s="41">
        <f t="shared" ref="O57" si="240">M57+(N57*F57)</f>
        <v>0</v>
      </c>
      <c r="P57" s="41"/>
      <c r="Q57" s="108" t="s">
        <v>50</v>
      </c>
      <c r="R57" s="179" t="s">
        <v>92</v>
      </c>
      <c r="S57" s="186" t="str">
        <f t="shared" ref="S57" si="241">CONCATENATE(Q57,R57,Y57)</f>
        <v>CPD2009</v>
      </c>
      <c r="T57"/>
      <c r="U57"/>
      <c r="V57"/>
      <c r="W57"/>
      <c r="X57"/>
      <c r="Y57" s="85">
        <v>2009</v>
      </c>
      <c r="Z57" s="2">
        <f t="shared" ref="Z57" si="242">IF($Q57="B", (G57*$N57),0)</f>
        <v>0</v>
      </c>
      <c r="AA57" s="2">
        <f t="shared" ref="AA57" si="243">IF($Q57="B", (H57*$N57),0)</f>
        <v>0</v>
      </c>
      <c r="AB57" s="2">
        <f t="shared" ref="AB57" si="244">IF($Q57="B", (I57*$N57),0)</f>
        <v>0</v>
      </c>
      <c r="AC57" s="2">
        <f t="shared" ref="AC57" si="245">IF($Q57="B", (J57*$N57),0)</f>
        <v>0</v>
      </c>
      <c r="AD57" s="2">
        <f t="shared" ref="AD57" si="246">IF($Q57="B", (K57*$N57),0)</f>
        <v>0</v>
      </c>
      <c r="AE57" s="3">
        <f t="shared" ref="AE57" si="247">IF($Q57="B", (F57*$N57),0)</f>
        <v>0</v>
      </c>
      <c r="AF57" s="73"/>
      <c r="AG57" s="2"/>
      <c r="AH57" s="2"/>
      <c r="AJ57" s="80">
        <f t="shared" ref="AJ57" si="248">IF($Q57="C", (G57*$N57),0)</f>
        <v>0</v>
      </c>
      <c r="AK57" s="10">
        <f t="shared" ref="AK57" si="249">IF($Q57="C", (H57*$N57),0)</f>
        <v>0</v>
      </c>
      <c r="AL57" s="10">
        <f t="shared" ref="AL57" si="250">IF($Q57="C", (I57*$N57),0)</f>
        <v>0</v>
      </c>
      <c r="AM57" s="10">
        <f t="shared" ref="AM57" si="251">IF($Q57="C", (J57*$N57),0)</f>
        <v>0</v>
      </c>
      <c r="AN57" s="10">
        <f t="shared" ref="AN57" si="252">IF($Q57="C", (K57*$N57),0)</f>
        <v>0</v>
      </c>
      <c r="AO57" s="2">
        <f t="shared" ref="AO57" si="253">IF($Q57="C", (F57*$N57),0)</f>
        <v>0</v>
      </c>
      <c r="AP57" s="73"/>
    </row>
    <row r="58" spans="1:42">
      <c r="A58" s="102" t="s">
        <v>200</v>
      </c>
      <c r="B58" s="40" t="s">
        <v>72</v>
      </c>
      <c r="C58">
        <v>0</v>
      </c>
      <c r="D58" s="40" t="s">
        <v>9</v>
      </c>
      <c r="E58" s="31">
        <v>0</v>
      </c>
      <c r="F58" s="128">
        <f t="shared" si="206"/>
        <v>0</v>
      </c>
      <c r="G58" s="139">
        <v>4</v>
      </c>
      <c r="H58" s="243">
        <v>12</v>
      </c>
      <c r="I58" s="139">
        <v>0</v>
      </c>
      <c r="J58" s="243">
        <v>2</v>
      </c>
      <c r="K58" s="140">
        <v>0</v>
      </c>
      <c r="L58" t="s">
        <v>8</v>
      </c>
      <c r="M58" s="31">
        <f t="shared" si="207"/>
        <v>2212</v>
      </c>
      <c r="N58">
        <v>1</v>
      </c>
      <c r="O58" s="41">
        <f t="shared" si="208"/>
        <v>2212</v>
      </c>
      <c r="P58" s="41"/>
      <c r="Q58" s="108" t="s">
        <v>50</v>
      </c>
      <c r="R58" s="179" t="s">
        <v>92</v>
      </c>
      <c r="S58" s="186" t="str">
        <f t="shared" ref="S58:S60" si="254">CONCATENATE(Q58,R58,Y58)</f>
        <v>CPD2009</v>
      </c>
      <c r="T58"/>
      <c r="U58"/>
      <c r="V58"/>
      <c r="W58"/>
      <c r="X58"/>
      <c r="Y58" s="85">
        <v>2009</v>
      </c>
      <c r="Z58" s="2">
        <f t="shared" ref="Z58:Z60" si="255">IF($Q58="B", (G58*$N58),0)</f>
        <v>0</v>
      </c>
      <c r="AA58" s="2">
        <f t="shared" ref="AA58:AA60" si="256">IF($Q58="B", (H58*$N58),0)</f>
        <v>0</v>
      </c>
      <c r="AB58" s="2">
        <f t="shared" ref="AB58:AB60" si="257">IF($Q58="B", (I58*$N58),0)</f>
        <v>0</v>
      </c>
      <c r="AC58" s="2">
        <f t="shared" ref="AC58:AC60" si="258">IF($Q58="B", (J58*$N58),0)</f>
        <v>0</v>
      </c>
      <c r="AD58" s="2">
        <f t="shared" ref="AD58:AD60" si="259">IF($Q58="B", (K58*$N58),0)</f>
        <v>0</v>
      </c>
      <c r="AE58" s="3">
        <f t="shared" ref="AE58:AE60" si="260">IF($Q58="B", (F58*$N58),0)</f>
        <v>0</v>
      </c>
      <c r="AF58" s="73"/>
      <c r="AG58" s="2"/>
      <c r="AH58" s="2"/>
      <c r="AJ58" s="80">
        <f t="shared" ref="AJ58:AJ60" si="261">IF($Q58="C", (G58*$N58),0)</f>
        <v>4</v>
      </c>
      <c r="AK58" s="10">
        <f t="shared" ref="AK58:AK60" si="262">IF($Q58="C", (H58*$N58),0)</f>
        <v>12</v>
      </c>
      <c r="AL58" s="10">
        <f t="shared" ref="AL58:AL60" si="263">IF($Q58="C", (I58*$N58),0)</f>
        <v>0</v>
      </c>
      <c r="AM58" s="10">
        <f t="shared" ref="AM58:AM60" si="264">IF($Q58="C", (J58*$N58),0)</f>
        <v>2</v>
      </c>
      <c r="AN58" s="10">
        <f t="shared" ref="AN58:AN60" si="265">IF($Q58="C", (K58*$N58),0)</f>
        <v>0</v>
      </c>
      <c r="AO58" s="2">
        <f t="shared" ref="AO58:AO60" si="266">IF($Q58="C", (F58*$N58),0)</f>
        <v>0</v>
      </c>
      <c r="AP58" s="73"/>
    </row>
    <row r="59" spans="1:42">
      <c r="A59" s="102" t="s">
        <v>209</v>
      </c>
      <c r="B59" s="40" t="s">
        <v>72</v>
      </c>
      <c r="C59">
        <v>0</v>
      </c>
      <c r="D59" s="40" t="s">
        <v>9</v>
      </c>
      <c r="E59" s="31">
        <v>0</v>
      </c>
      <c r="F59" s="128">
        <f t="shared" si="206"/>
        <v>0</v>
      </c>
      <c r="G59" s="139">
        <v>4</v>
      </c>
      <c r="H59" s="243">
        <v>12</v>
      </c>
      <c r="I59" s="139">
        <v>0</v>
      </c>
      <c r="J59" s="243">
        <v>2</v>
      </c>
      <c r="K59" s="140">
        <v>0</v>
      </c>
      <c r="L59" t="s">
        <v>8</v>
      </c>
      <c r="M59" s="31">
        <f t="shared" si="207"/>
        <v>2212</v>
      </c>
      <c r="N59">
        <v>1</v>
      </c>
      <c r="O59" s="41">
        <f t="shared" si="208"/>
        <v>2212</v>
      </c>
      <c r="P59" s="41"/>
      <c r="Q59" s="108" t="s">
        <v>50</v>
      </c>
      <c r="R59" s="179" t="s">
        <v>92</v>
      </c>
      <c r="S59" s="186" t="str">
        <f t="shared" si="254"/>
        <v>CPD2009</v>
      </c>
      <c r="T59"/>
      <c r="U59"/>
      <c r="V59"/>
      <c r="W59"/>
      <c r="X59"/>
      <c r="Y59" s="85">
        <v>2009</v>
      </c>
      <c r="Z59" s="2">
        <f t="shared" si="255"/>
        <v>0</v>
      </c>
      <c r="AA59" s="2">
        <f t="shared" si="256"/>
        <v>0</v>
      </c>
      <c r="AB59" s="2">
        <f t="shared" si="257"/>
        <v>0</v>
      </c>
      <c r="AC59" s="2">
        <f t="shared" si="258"/>
        <v>0</v>
      </c>
      <c r="AD59" s="2">
        <f t="shared" si="259"/>
        <v>0</v>
      </c>
      <c r="AE59" s="3">
        <f t="shared" si="260"/>
        <v>0</v>
      </c>
      <c r="AF59" s="73"/>
      <c r="AG59" s="2"/>
      <c r="AH59" s="2"/>
      <c r="AJ59" s="80">
        <f t="shared" si="261"/>
        <v>4</v>
      </c>
      <c r="AK59" s="10">
        <f t="shared" si="262"/>
        <v>12</v>
      </c>
      <c r="AL59" s="10">
        <f t="shared" si="263"/>
        <v>0</v>
      </c>
      <c r="AM59" s="10">
        <f t="shared" si="264"/>
        <v>2</v>
      </c>
      <c r="AN59" s="10">
        <f t="shared" si="265"/>
        <v>0</v>
      </c>
      <c r="AO59" s="2">
        <f t="shared" si="266"/>
        <v>0</v>
      </c>
      <c r="AP59" s="73"/>
    </row>
    <row r="60" spans="1:42">
      <c r="A60" s="102" t="s">
        <v>210</v>
      </c>
      <c r="B60" s="40" t="s">
        <v>72</v>
      </c>
      <c r="C60">
        <v>0</v>
      </c>
      <c r="D60" s="40" t="s">
        <v>9</v>
      </c>
      <c r="E60" s="31">
        <v>0</v>
      </c>
      <c r="F60" s="128">
        <f t="shared" si="206"/>
        <v>0</v>
      </c>
      <c r="G60" s="139">
        <v>4</v>
      </c>
      <c r="H60" s="139">
        <v>8</v>
      </c>
      <c r="I60" s="139">
        <v>0</v>
      </c>
      <c r="J60" s="139">
        <v>2</v>
      </c>
      <c r="K60" s="140">
        <v>0</v>
      </c>
      <c r="L60" t="s">
        <v>8</v>
      </c>
      <c r="M60" s="31">
        <f t="shared" si="207"/>
        <v>0</v>
      </c>
      <c r="N60" s="242">
        <v>0</v>
      </c>
      <c r="O60" s="41">
        <f t="shared" si="208"/>
        <v>0</v>
      </c>
      <c r="P60" s="41"/>
      <c r="Q60" s="108" t="s">
        <v>49</v>
      </c>
      <c r="R60" s="179" t="s">
        <v>92</v>
      </c>
      <c r="S60" s="186" t="str">
        <f t="shared" si="254"/>
        <v>BPD2009</v>
      </c>
      <c r="T60"/>
      <c r="U60"/>
      <c r="V60"/>
      <c r="W60"/>
      <c r="X60"/>
      <c r="Y60" s="85">
        <v>2009</v>
      </c>
      <c r="Z60" s="2">
        <f t="shared" si="255"/>
        <v>0</v>
      </c>
      <c r="AA60" s="2">
        <f t="shared" si="256"/>
        <v>0</v>
      </c>
      <c r="AB60" s="2">
        <f t="shared" si="257"/>
        <v>0</v>
      </c>
      <c r="AC60" s="2">
        <f t="shared" si="258"/>
        <v>0</v>
      </c>
      <c r="AD60" s="2">
        <f t="shared" si="259"/>
        <v>0</v>
      </c>
      <c r="AE60" s="3">
        <f t="shared" si="260"/>
        <v>0</v>
      </c>
      <c r="AF60" s="73"/>
      <c r="AG60" s="2"/>
      <c r="AH60" s="2"/>
      <c r="AJ60" s="80">
        <f t="shared" si="261"/>
        <v>0</v>
      </c>
      <c r="AK60" s="10">
        <f t="shared" si="262"/>
        <v>0</v>
      </c>
      <c r="AL60" s="10">
        <f t="shared" si="263"/>
        <v>0</v>
      </c>
      <c r="AM60" s="10">
        <f t="shared" si="264"/>
        <v>0</v>
      </c>
      <c r="AN60" s="10">
        <f t="shared" si="265"/>
        <v>0</v>
      </c>
      <c r="AO60" s="2">
        <f t="shared" si="266"/>
        <v>0</v>
      </c>
      <c r="AP60" s="73"/>
    </row>
    <row r="61" spans="1:42">
      <c r="A61" s="102" t="s">
        <v>207</v>
      </c>
      <c r="B61" s="40" t="s">
        <v>72</v>
      </c>
      <c r="C61">
        <v>0</v>
      </c>
      <c r="D61" s="40" t="s">
        <v>9</v>
      </c>
      <c r="E61" s="31">
        <v>0</v>
      </c>
      <c r="F61" s="128">
        <f t="shared" si="206"/>
        <v>0</v>
      </c>
      <c r="G61" s="139">
        <v>0</v>
      </c>
      <c r="H61" s="243">
        <v>12</v>
      </c>
      <c r="I61" s="139">
        <v>0</v>
      </c>
      <c r="J61" s="243">
        <v>2</v>
      </c>
      <c r="K61" s="140">
        <v>0</v>
      </c>
      <c r="L61" t="s">
        <v>8</v>
      </c>
      <c r="M61" s="31">
        <f t="shared" si="207"/>
        <v>1704</v>
      </c>
      <c r="N61">
        <v>1</v>
      </c>
      <c r="O61" s="41">
        <f t="shared" si="208"/>
        <v>1704</v>
      </c>
      <c r="P61" s="41"/>
      <c r="Q61" s="108" t="s">
        <v>50</v>
      </c>
      <c r="R61" s="179" t="s">
        <v>92</v>
      </c>
      <c r="S61" s="186" t="str">
        <f t="shared" ref="S61:S62" si="267">CONCATENATE(Q61,R61,Y61)</f>
        <v>CPD2009</v>
      </c>
      <c r="T61"/>
      <c r="U61"/>
      <c r="V61"/>
      <c r="W61"/>
      <c r="X61"/>
      <c r="Y61" s="85">
        <v>2009</v>
      </c>
      <c r="Z61" s="2">
        <f t="shared" ref="Z61:Z62" si="268">IF($Q61="B", (G61*$N61),0)</f>
        <v>0</v>
      </c>
      <c r="AA61" s="2">
        <f t="shared" ref="AA61:AA62" si="269">IF($Q61="B", (H61*$N61),0)</f>
        <v>0</v>
      </c>
      <c r="AB61" s="2">
        <f t="shared" ref="AB61:AB62" si="270">IF($Q61="B", (I61*$N61),0)</f>
        <v>0</v>
      </c>
      <c r="AC61" s="2">
        <f t="shared" ref="AC61:AC62" si="271">IF($Q61="B", (J61*$N61),0)</f>
        <v>0</v>
      </c>
      <c r="AD61" s="2">
        <f t="shared" ref="AD61:AD62" si="272">IF($Q61="B", (K61*$N61),0)</f>
        <v>0</v>
      </c>
      <c r="AE61" s="3">
        <f t="shared" ref="AE61:AE62" si="273">IF($Q61="B", (F61*$N61),0)</f>
        <v>0</v>
      </c>
      <c r="AF61" s="73"/>
      <c r="AG61" s="2"/>
      <c r="AH61" s="2"/>
      <c r="AJ61" s="80">
        <f t="shared" ref="AJ61:AJ62" si="274">IF($Q61="C", (G61*$N61),0)</f>
        <v>0</v>
      </c>
      <c r="AK61" s="10">
        <f t="shared" ref="AK61:AK62" si="275">IF($Q61="C", (H61*$N61),0)</f>
        <v>12</v>
      </c>
      <c r="AL61" s="10">
        <f t="shared" ref="AL61:AL62" si="276">IF($Q61="C", (I61*$N61),0)</f>
        <v>0</v>
      </c>
      <c r="AM61" s="10">
        <f t="shared" ref="AM61:AM62" si="277">IF($Q61="C", (J61*$N61),0)</f>
        <v>2</v>
      </c>
      <c r="AN61" s="10">
        <f t="shared" ref="AN61:AN62" si="278">IF($Q61="C", (K61*$N61),0)</f>
        <v>0</v>
      </c>
      <c r="AO61" s="2">
        <f t="shared" ref="AO61:AO62" si="279">IF($Q61="C", (F61*$N61),0)</f>
        <v>0</v>
      </c>
      <c r="AP61" s="73"/>
    </row>
    <row r="62" spans="1:42">
      <c r="A62" s="102" t="s">
        <v>208</v>
      </c>
      <c r="B62" s="40" t="s">
        <v>72</v>
      </c>
      <c r="C62">
        <v>0</v>
      </c>
      <c r="D62" s="40" t="s">
        <v>9</v>
      </c>
      <c r="E62" s="31">
        <v>0</v>
      </c>
      <c r="F62" s="128">
        <f t="shared" si="206"/>
        <v>0</v>
      </c>
      <c r="G62" s="139">
        <v>0</v>
      </c>
      <c r="H62" s="243">
        <v>12</v>
      </c>
      <c r="I62" s="139">
        <v>0</v>
      </c>
      <c r="J62" s="243">
        <v>2</v>
      </c>
      <c r="K62" s="140">
        <v>0</v>
      </c>
      <c r="L62" t="s">
        <v>8</v>
      </c>
      <c r="M62" s="31">
        <f t="shared" si="207"/>
        <v>1704</v>
      </c>
      <c r="N62">
        <v>1</v>
      </c>
      <c r="O62" s="41">
        <f t="shared" si="208"/>
        <v>1704</v>
      </c>
      <c r="P62" s="41"/>
      <c r="Q62" s="108" t="s">
        <v>50</v>
      </c>
      <c r="R62" s="179" t="s">
        <v>92</v>
      </c>
      <c r="S62" s="186" t="str">
        <f t="shared" si="267"/>
        <v>CPD2009</v>
      </c>
      <c r="T62"/>
      <c r="U62"/>
      <c r="V62"/>
      <c r="W62"/>
      <c r="X62"/>
      <c r="Y62" s="85">
        <v>2009</v>
      </c>
      <c r="Z62" s="2">
        <f t="shared" si="268"/>
        <v>0</v>
      </c>
      <c r="AA62" s="2">
        <f t="shared" si="269"/>
        <v>0</v>
      </c>
      <c r="AB62" s="2">
        <f t="shared" si="270"/>
        <v>0</v>
      </c>
      <c r="AC62" s="2">
        <f t="shared" si="271"/>
        <v>0</v>
      </c>
      <c r="AD62" s="2">
        <f t="shared" si="272"/>
        <v>0</v>
      </c>
      <c r="AE62" s="3">
        <f t="shared" si="273"/>
        <v>0</v>
      </c>
      <c r="AF62" s="73"/>
      <c r="AG62" s="2"/>
      <c r="AH62" s="2"/>
      <c r="AJ62" s="80">
        <f t="shared" si="274"/>
        <v>0</v>
      </c>
      <c r="AK62" s="10">
        <f t="shared" si="275"/>
        <v>12</v>
      </c>
      <c r="AL62" s="10">
        <f t="shared" si="276"/>
        <v>0</v>
      </c>
      <c r="AM62" s="10">
        <f t="shared" si="277"/>
        <v>2</v>
      </c>
      <c r="AN62" s="10">
        <f t="shared" si="278"/>
        <v>0</v>
      </c>
      <c r="AO62" s="2">
        <f t="shared" si="279"/>
        <v>0</v>
      </c>
      <c r="AP62" s="73"/>
    </row>
    <row r="63" spans="1:42" s="155" customFormat="1">
      <c r="A63" s="103" t="s">
        <v>107</v>
      </c>
      <c r="E63" s="156"/>
      <c r="F63" s="157"/>
      <c r="G63" s="158"/>
      <c r="H63" s="158"/>
      <c r="I63" s="158"/>
      <c r="J63" s="158"/>
      <c r="K63" s="159"/>
      <c r="L63" s="169" t="s">
        <v>79</v>
      </c>
      <c r="M63" s="170">
        <f>SUMIF(Q51:Q62,"B",M51:M62)</f>
        <v>27584</v>
      </c>
      <c r="N63" s="171" t="s">
        <v>79</v>
      </c>
      <c r="O63" s="170"/>
      <c r="P63" s="160"/>
      <c r="Q63" s="161"/>
      <c r="R63" s="181"/>
      <c r="S63" s="188"/>
      <c r="T63"/>
      <c r="U63"/>
      <c r="V63"/>
      <c r="W63"/>
      <c r="X63"/>
      <c r="Y63" s="85"/>
      <c r="Z63" s="163"/>
      <c r="AA63" s="163"/>
      <c r="AB63" s="163"/>
      <c r="AC63" s="163"/>
      <c r="AD63" s="163"/>
      <c r="AE63" s="164"/>
      <c r="AF63" s="165"/>
      <c r="AG63" s="163"/>
      <c r="AH63" s="163"/>
      <c r="AI63" s="31"/>
      <c r="AJ63" s="166"/>
      <c r="AK63" s="163"/>
      <c r="AL63" s="163"/>
      <c r="AM63" s="163"/>
      <c r="AN63" s="163"/>
      <c r="AO63" s="163"/>
      <c r="AP63" s="165"/>
    </row>
    <row r="64" spans="1:42" s="38" customFormat="1">
      <c r="A64" s="167" t="s">
        <v>72</v>
      </c>
      <c r="B64" s="40" t="s">
        <v>65</v>
      </c>
      <c r="C64">
        <v>1</v>
      </c>
      <c r="D64" s="40" t="s">
        <v>40</v>
      </c>
      <c r="E64" s="31">
        <v>300</v>
      </c>
      <c r="F64" s="128">
        <f>E64*C64</f>
        <v>300</v>
      </c>
      <c r="G64" s="139">
        <v>0</v>
      </c>
      <c r="H64" s="139">
        <v>4</v>
      </c>
      <c r="I64" s="139">
        <v>0</v>
      </c>
      <c r="J64" s="139">
        <v>0</v>
      </c>
      <c r="K64" s="140">
        <v>0</v>
      </c>
      <c r="L64" t="s">
        <v>8</v>
      </c>
      <c r="M64" s="31">
        <f>((Shop*G64)+(M_Tech*H64)+(CMM*I64)+(ENG*J64)+(DES*K64))*N64</f>
        <v>468</v>
      </c>
      <c r="N64">
        <v>1</v>
      </c>
      <c r="O64" s="41">
        <f>M64+(N64*F64)</f>
        <v>768</v>
      </c>
      <c r="P64" s="41"/>
      <c r="Q64" s="108" t="s">
        <v>49</v>
      </c>
      <c r="R64" s="179" t="s">
        <v>92</v>
      </c>
      <c r="S64" s="186" t="str">
        <f t="shared" ref="S64:S66" si="280">CONCATENATE(Q64,R64,Y64)</f>
        <v>BPD2009</v>
      </c>
      <c r="T64"/>
      <c r="U64"/>
      <c r="V64"/>
      <c r="W64"/>
      <c r="X64"/>
      <c r="Y64" s="85">
        <v>2009</v>
      </c>
      <c r="Z64" s="2">
        <f t="shared" ref="Z64:AD66" si="281">IF($Q64="B", (G64*$N64),0)</f>
        <v>0</v>
      </c>
      <c r="AA64" s="2">
        <f t="shared" si="281"/>
        <v>4</v>
      </c>
      <c r="AB64" s="2">
        <f t="shared" si="281"/>
        <v>0</v>
      </c>
      <c r="AC64" s="2">
        <f t="shared" si="281"/>
        <v>0</v>
      </c>
      <c r="AD64" s="2">
        <f t="shared" si="281"/>
        <v>0</v>
      </c>
      <c r="AE64" s="3">
        <f>IF($Q64="B", (F64*$N64),0)</f>
        <v>300</v>
      </c>
      <c r="AF64" s="39"/>
      <c r="AG64" s="37"/>
      <c r="AH64" s="37"/>
      <c r="AI64" s="31"/>
      <c r="AJ64" s="80">
        <f t="shared" ref="AJ64:AN66" si="282">IF($Q64="C", (G64*$N64),0)</f>
        <v>0</v>
      </c>
      <c r="AK64" s="10">
        <f t="shared" si="282"/>
        <v>0</v>
      </c>
      <c r="AL64" s="10">
        <f t="shared" si="282"/>
        <v>0</v>
      </c>
      <c r="AM64" s="10">
        <f t="shared" si="282"/>
        <v>0</v>
      </c>
      <c r="AN64" s="10">
        <f t="shared" si="282"/>
        <v>0</v>
      </c>
      <c r="AO64" s="2">
        <f>IF($Q64="C", (F64*$N64),0)</f>
        <v>0</v>
      </c>
      <c r="AP64" s="39"/>
    </row>
    <row r="65" spans="1:42" s="38" customFormat="1">
      <c r="A65" s="167" t="s">
        <v>175</v>
      </c>
      <c r="B65" s="40" t="s">
        <v>7</v>
      </c>
      <c r="C65">
        <v>30</v>
      </c>
      <c r="D65" s="40" t="s">
        <v>40</v>
      </c>
      <c r="E65" s="31">
        <v>8</v>
      </c>
      <c r="F65" s="128">
        <f>E65*C65</f>
        <v>240</v>
      </c>
      <c r="G65" s="139">
        <v>8</v>
      </c>
      <c r="H65" s="139">
        <v>8</v>
      </c>
      <c r="I65" s="139">
        <v>0</v>
      </c>
      <c r="J65" s="139">
        <v>0</v>
      </c>
      <c r="K65" s="140">
        <v>0</v>
      </c>
      <c r="L65" t="s">
        <v>8</v>
      </c>
      <c r="M65" s="31">
        <f>((Shop*G65)+(M_Tech*H65)+(CMM*I65)+(ENG*J65)+(DES*K65))*N65</f>
        <v>1952</v>
      </c>
      <c r="N65">
        <v>1</v>
      </c>
      <c r="O65" s="41">
        <f>M65+(N65*F65)</f>
        <v>2192</v>
      </c>
      <c r="P65" s="41"/>
      <c r="Q65" s="108" t="s">
        <v>49</v>
      </c>
      <c r="R65" s="179" t="s">
        <v>92</v>
      </c>
      <c r="S65" s="186" t="str">
        <f t="shared" si="280"/>
        <v>BPD2009</v>
      </c>
      <c r="T65"/>
      <c r="U65"/>
      <c r="V65"/>
      <c r="W65"/>
      <c r="X65"/>
      <c r="Y65" s="85">
        <v>2009</v>
      </c>
      <c r="Z65" s="2">
        <f t="shared" si="281"/>
        <v>8</v>
      </c>
      <c r="AA65" s="2">
        <f t="shared" si="281"/>
        <v>8</v>
      </c>
      <c r="AB65" s="2">
        <f t="shared" si="281"/>
        <v>0</v>
      </c>
      <c r="AC65" s="2">
        <f t="shared" si="281"/>
        <v>0</v>
      </c>
      <c r="AD65" s="2">
        <f t="shared" si="281"/>
        <v>0</v>
      </c>
      <c r="AE65" s="3">
        <f>IF($Q65="B", (F65*$N65),0)</f>
        <v>240</v>
      </c>
      <c r="AF65" s="39"/>
      <c r="AG65" s="37"/>
      <c r="AH65" s="37"/>
      <c r="AI65" s="31"/>
      <c r="AJ65" s="80">
        <f t="shared" si="282"/>
        <v>0</v>
      </c>
      <c r="AK65" s="10">
        <f t="shared" si="282"/>
        <v>0</v>
      </c>
      <c r="AL65" s="10">
        <f t="shared" si="282"/>
        <v>0</v>
      </c>
      <c r="AM65" s="10">
        <f t="shared" si="282"/>
        <v>0</v>
      </c>
      <c r="AN65" s="10">
        <f t="shared" si="282"/>
        <v>0</v>
      </c>
      <c r="AO65" s="2">
        <f>IF($Q65="C", (F65*$N65),0)</f>
        <v>0</v>
      </c>
      <c r="AP65" s="39"/>
    </row>
    <row r="66" spans="1:42" s="38" customFormat="1">
      <c r="A66" s="167" t="s">
        <v>75</v>
      </c>
      <c r="B66" s="40" t="s">
        <v>65</v>
      </c>
      <c r="C66">
        <v>1</v>
      </c>
      <c r="D66" s="40" t="s">
        <v>40</v>
      </c>
      <c r="E66" s="31">
        <v>200</v>
      </c>
      <c r="F66" s="128">
        <f>E66*C66</f>
        <v>200</v>
      </c>
      <c r="G66" s="139">
        <v>0</v>
      </c>
      <c r="H66" s="139">
        <v>1</v>
      </c>
      <c r="I66" s="139">
        <v>0</v>
      </c>
      <c r="J66" s="139">
        <v>0</v>
      </c>
      <c r="K66" s="140">
        <v>0</v>
      </c>
      <c r="L66" t="s">
        <v>8</v>
      </c>
      <c r="M66" s="31">
        <f>((Shop*G66)+(M_Tech*H66)+(CMM*I66)+(ENG*J66)+(DES*K66))*N66</f>
        <v>117</v>
      </c>
      <c r="N66">
        <v>1</v>
      </c>
      <c r="O66" s="41">
        <f>M66+(N66*F66)</f>
        <v>317</v>
      </c>
      <c r="P66" s="41"/>
      <c r="Q66" s="108" t="s">
        <v>50</v>
      </c>
      <c r="R66" s="179" t="s">
        <v>92</v>
      </c>
      <c r="S66" s="186" t="str">
        <f t="shared" si="280"/>
        <v>CPD2009</v>
      </c>
      <c r="T66"/>
      <c r="U66"/>
      <c r="V66"/>
      <c r="W66"/>
      <c r="X66"/>
      <c r="Y66" s="85">
        <v>2009</v>
      </c>
      <c r="Z66" s="2">
        <f t="shared" si="281"/>
        <v>0</v>
      </c>
      <c r="AA66" s="2">
        <f t="shared" si="281"/>
        <v>0</v>
      </c>
      <c r="AB66" s="2">
        <f t="shared" si="281"/>
        <v>0</v>
      </c>
      <c r="AC66" s="2">
        <f t="shared" si="281"/>
        <v>0</v>
      </c>
      <c r="AD66" s="2">
        <f t="shared" si="281"/>
        <v>0</v>
      </c>
      <c r="AE66" s="3">
        <f>IF($Q66="B", (F66*$N66),0)</f>
        <v>0</v>
      </c>
      <c r="AF66" s="39"/>
      <c r="AG66" s="37"/>
      <c r="AH66" s="37"/>
      <c r="AI66" s="31"/>
      <c r="AJ66" s="80">
        <f t="shared" si="282"/>
        <v>0</v>
      </c>
      <c r="AK66" s="10">
        <f t="shared" si="282"/>
        <v>1</v>
      </c>
      <c r="AL66" s="10">
        <f t="shared" si="282"/>
        <v>0</v>
      </c>
      <c r="AM66" s="10">
        <f t="shared" si="282"/>
        <v>0</v>
      </c>
      <c r="AN66" s="10">
        <f t="shared" si="282"/>
        <v>0</v>
      </c>
      <c r="AO66" s="2">
        <f>IF($Q66="C", (F66*$N66),0)</f>
        <v>200</v>
      </c>
      <c r="AP66" s="39"/>
    </row>
    <row r="67" spans="1:42">
      <c r="A67" s="43" t="s">
        <v>126</v>
      </c>
      <c r="B67" s="7"/>
      <c r="C67" s="7"/>
      <c r="D67" s="7"/>
      <c r="E67" s="9"/>
      <c r="F67" s="8"/>
      <c r="G67" s="141"/>
      <c r="H67" s="141"/>
      <c r="I67" s="141"/>
      <c r="J67" s="141"/>
      <c r="K67" s="142"/>
      <c r="L67" s="7"/>
      <c r="M67" s="9">
        <f>SUMIF(Q22:Q66,"B",M22:M66)</f>
        <v>87408</v>
      </c>
      <c r="N67" s="273" t="s">
        <v>78</v>
      </c>
      <c r="O67" s="273"/>
      <c r="P67" s="276"/>
      <c r="Q67" s="109"/>
      <c r="R67" s="182"/>
      <c r="S67" s="187"/>
      <c r="T67" s="7"/>
      <c r="U67" s="7"/>
      <c r="V67" s="7"/>
      <c r="W67" s="7"/>
      <c r="X67" s="7"/>
      <c r="Y67" s="86"/>
      <c r="Z67" s="11">
        <f>SUM(Z21:Z66)</f>
        <v>348</v>
      </c>
      <c r="AA67" s="11">
        <f t="shared" ref="AA67:AC67" si="283">SUM(AA21:AA66)</f>
        <v>236</v>
      </c>
      <c r="AB67" s="11">
        <f t="shared" si="283"/>
        <v>0</v>
      </c>
      <c r="AC67" s="11">
        <f t="shared" si="283"/>
        <v>104</v>
      </c>
      <c r="AD67" s="11">
        <f>SUM(AD21:AD66)</f>
        <v>0</v>
      </c>
      <c r="AE67" s="9"/>
      <c r="AF67" s="8">
        <f>SUM(AE21:AE66)</f>
        <v>6285</v>
      </c>
      <c r="AG67" s="9">
        <f>(Shop*Z67)+M_Tech*AA67+CMM*AB67+ENG*AC67+DES*AD67+AF67</f>
        <v>93693</v>
      </c>
      <c r="AH67" s="9"/>
      <c r="AI67" s="8">
        <f>Shop*AJ67+M_Tech*AK67+CMM*AL67+ENG*AM67+DES*AN67+AP67</f>
        <v>11334.2</v>
      </c>
      <c r="AJ67" s="11">
        <f>SUM(AJ21:AJ66)</f>
        <v>27.6</v>
      </c>
      <c r="AK67" s="11">
        <f t="shared" ref="AK67" si="284">SUM(AK21:AK66)</f>
        <v>49</v>
      </c>
      <c r="AL67" s="11">
        <f t="shared" ref="AL67" si="285">SUM(AL21:AL66)</f>
        <v>0</v>
      </c>
      <c r="AM67" s="11">
        <f t="shared" ref="AM67" si="286">SUM(AM21:AM66)</f>
        <v>8</v>
      </c>
      <c r="AN67" s="11">
        <f t="shared" ref="AN67" si="287">SUM(AN21:AN66)</f>
        <v>0</v>
      </c>
      <c r="AO67" s="9"/>
      <c r="AP67" s="8">
        <f>SUM(AO21:AO66)</f>
        <v>896</v>
      </c>
    </row>
    <row r="68" spans="1:42">
      <c r="F68" s="128"/>
      <c r="G68" s="139"/>
      <c r="H68" s="139"/>
      <c r="I68" s="139"/>
      <c r="J68" s="139"/>
      <c r="K68" s="140"/>
      <c r="M68" s="31"/>
      <c r="N68"/>
      <c r="O68" s="41"/>
      <c r="P68" s="41"/>
      <c r="Q68" s="87"/>
      <c r="R68" s="180"/>
      <c r="S68" s="192"/>
      <c r="T68"/>
      <c r="U68"/>
      <c r="V68"/>
      <c r="W68"/>
      <c r="X68"/>
      <c r="Y68" s="88"/>
      <c r="Z68" s="74"/>
      <c r="AA68" s="74"/>
      <c r="AB68" s="74"/>
      <c r="AC68" s="74"/>
      <c r="AD68" s="74"/>
      <c r="AE68" s="75"/>
      <c r="AF68" s="76"/>
      <c r="AG68" s="1"/>
      <c r="AH68" s="1"/>
      <c r="AJ68" s="81"/>
      <c r="AK68" s="2"/>
      <c r="AL68" s="2"/>
      <c r="AM68" s="2"/>
      <c r="AN68" s="2"/>
      <c r="AO68" s="2"/>
      <c r="AP68" s="73"/>
    </row>
    <row r="69" spans="1:42" ht="15.75">
      <c r="A69" s="105" t="s">
        <v>125</v>
      </c>
      <c r="F69" s="128"/>
      <c r="G69" s="139"/>
      <c r="H69" s="139"/>
      <c r="I69" s="139"/>
      <c r="J69" s="139"/>
      <c r="K69" s="140"/>
      <c r="M69" s="31"/>
      <c r="N69"/>
      <c r="O69" s="41"/>
      <c r="P69" s="41"/>
      <c r="Q69" s="108"/>
      <c r="R69" s="179"/>
      <c r="S69" s="186"/>
      <c r="T69"/>
      <c r="U69"/>
      <c r="V69"/>
      <c r="W69"/>
      <c r="X69"/>
      <c r="Y69" s="85"/>
      <c r="Z69" s="10"/>
      <c r="AA69" s="10"/>
      <c r="AB69" s="10"/>
      <c r="AC69" s="10"/>
      <c r="AD69" s="10"/>
      <c r="AE69" s="3"/>
      <c r="AF69" s="73"/>
      <c r="AG69" s="2"/>
      <c r="AH69" s="2"/>
      <c r="AJ69" s="81"/>
      <c r="AK69" s="2"/>
      <c r="AL69" s="2"/>
      <c r="AM69" s="2"/>
      <c r="AN69" s="2"/>
      <c r="AO69" s="2"/>
      <c r="AP69" s="73"/>
    </row>
    <row r="70" spans="1:42" s="38" customFormat="1">
      <c r="A70" s="103" t="s">
        <v>150</v>
      </c>
      <c r="B70" s="40"/>
      <c r="C70"/>
      <c r="D70" s="40"/>
      <c r="E70" s="31"/>
      <c r="F70" s="128"/>
      <c r="G70" s="168"/>
      <c r="H70" s="139"/>
      <c r="I70" s="139"/>
      <c r="J70" s="139"/>
      <c r="K70" s="140"/>
      <c r="L70" s="169"/>
      <c r="M70" s="170"/>
      <c r="N70" s="171"/>
      <c r="O70" s="170"/>
      <c r="P70" s="41"/>
      <c r="Q70" s="108"/>
      <c r="R70" s="179"/>
      <c r="S70" s="186"/>
      <c r="T70"/>
      <c r="U70"/>
      <c r="V70"/>
      <c r="W70"/>
      <c r="X70"/>
      <c r="Y70" s="85"/>
      <c r="Z70" s="2"/>
      <c r="AA70" s="2"/>
      <c r="AB70" s="2"/>
      <c r="AC70" s="2"/>
      <c r="AD70" s="2"/>
      <c r="AE70" s="3"/>
      <c r="AF70" s="39"/>
      <c r="AG70" s="37"/>
      <c r="AH70" s="37"/>
      <c r="AI70" s="31"/>
      <c r="AJ70" s="80"/>
      <c r="AK70" s="10"/>
      <c r="AL70" s="10"/>
      <c r="AM70" s="10"/>
      <c r="AN70" s="10"/>
      <c r="AO70" s="2"/>
      <c r="AP70" s="39"/>
    </row>
    <row r="71" spans="1:42" s="155" customFormat="1">
      <c r="A71" s="102" t="s">
        <v>137</v>
      </c>
      <c r="E71" s="156"/>
      <c r="F71" s="157"/>
      <c r="G71" s="158"/>
      <c r="H71" s="158"/>
      <c r="I71" s="158"/>
      <c r="J71" s="158"/>
      <c r="K71" s="159"/>
      <c r="M71" s="156"/>
      <c r="O71" s="160"/>
      <c r="P71" s="160"/>
      <c r="Q71" s="161"/>
      <c r="R71" s="181"/>
      <c r="S71" s="188"/>
      <c r="T71"/>
      <c r="U71"/>
      <c r="V71"/>
      <c r="W71"/>
      <c r="X71"/>
      <c r="Y71" s="162"/>
      <c r="Z71" s="163"/>
      <c r="AA71" s="163"/>
      <c r="AB71" s="163"/>
      <c r="AC71" s="163"/>
      <c r="AD71" s="163"/>
      <c r="AE71" s="164"/>
      <c r="AF71" s="165"/>
      <c r="AG71" s="163"/>
      <c r="AH71" s="163"/>
      <c r="AI71" s="31"/>
      <c r="AJ71" s="166"/>
      <c r="AK71" s="163"/>
      <c r="AL71" s="163"/>
      <c r="AM71" s="163"/>
      <c r="AN71" s="163"/>
      <c r="AO71" s="163"/>
      <c r="AP71" s="165"/>
    </row>
    <row r="72" spans="1:42" s="38" customFormat="1">
      <c r="A72" s="167" t="s">
        <v>138</v>
      </c>
      <c r="B72" s="40" t="s">
        <v>139</v>
      </c>
      <c r="C72">
        <v>200</v>
      </c>
      <c r="D72" s="40" t="s">
        <v>41</v>
      </c>
      <c r="E72" s="31">
        <v>4</v>
      </c>
      <c r="F72" s="128">
        <f t="shared" ref="F72:F77" si="288">E72*C72</f>
        <v>800</v>
      </c>
      <c r="G72" s="139">
        <v>40</v>
      </c>
      <c r="H72" s="139">
        <v>0</v>
      </c>
      <c r="I72" s="139">
        <v>0</v>
      </c>
      <c r="J72" s="243">
        <v>8</v>
      </c>
      <c r="K72" s="140">
        <v>0</v>
      </c>
      <c r="L72" t="s">
        <v>8</v>
      </c>
      <c r="M72" s="31">
        <f t="shared" ref="M72:M77" si="289">((Shop*G72)+(M_Tech*H72)+(CMM*I72)+(ENG*J72)+(DES*K72))*N72</f>
        <v>6280</v>
      </c>
      <c r="N72">
        <v>1</v>
      </c>
      <c r="O72" s="41">
        <f t="shared" ref="O72:O77" si="290">M72+(N72*F72)</f>
        <v>7080</v>
      </c>
      <c r="P72" s="41"/>
      <c r="Q72" s="108" t="s">
        <v>49</v>
      </c>
      <c r="R72" s="179" t="s">
        <v>92</v>
      </c>
      <c r="S72" s="186" t="str">
        <f t="shared" ref="S72:S77" si="291">CONCATENATE(Q72,R72,Y72)</f>
        <v>BPD2009</v>
      </c>
      <c r="T72"/>
      <c r="U72"/>
      <c r="V72"/>
      <c r="W72"/>
      <c r="X72"/>
      <c r="Y72" s="85">
        <v>2009</v>
      </c>
      <c r="Z72" s="2">
        <f t="shared" ref="Z72:AD77" si="292">IF($Q72="B", (G72*$N72),0)</f>
        <v>40</v>
      </c>
      <c r="AA72" s="2">
        <f t="shared" si="292"/>
        <v>0</v>
      </c>
      <c r="AB72" s="2">
        <f t="shared" si="292"/>
        <v>0</v>
      </c>
      <c r="AC72" s="2">
        <f t="shared" si="292"/>
        <v>8</v>
      </c>
      <c r="AD72" s="2">
        <f t="shared" si="292"/>
        <v>0</v>
      </c>
      <c r="AE72" s="3">
        <f t="shared" ref="AE72:AE77" si="293">IF($Q72="B", (F72*$N72),0)</f>
        <v>800</v>
      </c>
      <c r="AF72" s="39"/>
      <c r="AG72" s="37"/>
      <c r="AH72" s="37"/>
      <c r="AI72" s="31"/>
      <c r="AJ72" s="80">
        <f t="shared" ref="AJ72:AN77" si="294">IF($Q72="C", (G72*$N72),0)</f>
        <v>0</v>
      </c>
      <c r="AK72" s="10">
        <f t="shared" si="294"/>
        <v>0</v>
      </c>
      <c r="AL72" s="10">
        <f t="shared" si="294"/>
        <v>0</v>
      </c>
      <c r="AM72" s="10">
        <f t="shared" si="294"/>
        <v>0</v>
      </c>
      <c r="AN72" s="10">
        <f t="shared" si="294"/>
        <v>0</v>
      </c>
      <c r="AO72" s="2">
        <f t="shared" ref="AO72:AO77" si="295">IF($Q72="C", (F72*$N72),0)</f>
        <v>0</v>
      </c>
      <c r="AP72" s="39"/>
    </row>
    <row r="73" spans="1:42" s="38" customFormat="1">
      <c r="A73" s="167" t="s">
        <v>156</v>
      </c>
      <c r="B73" s="40" t="s">
        <v>34</v>
      </c>
      <c r="C73">
        <v>0</v>
      </c>
      <c r="D73" s="40" t="s">
        <v>9</v>
      </c>
      <c r="E73" s="172">
        <v>0</v>
      </c>
      <c r="F73" s="128">
        <f t="shared" ref="F73" si="296">E73*C73</f>
        <v>0</v>
      </c>
      <c r="G73" s="139">
        <v>4</v>
      </c>
      <c r="H73" s="139">
        <v>8</v>
      </c>
      <c r="I73" s="139">
        <v>0</v>
      </c>
      <c r="J73" s="139">
        <v>16</v>
      </c>
      <c r="K73" s="140">
        <v>0</v>
      </c>
      <c r="L73" t="s">
        <v>8</v>
      </c>
      <c r="M73" s="31">
        <f t="shared" ref="M73" si="297">((Shop*G73)+(M_Tech*H73)+(CMM*I73)+(ENG*J73)+(DES*K73))*N73</f>
        <v>3844</v>
      </c>
      <c r="N73">
        <v>1</v>
      </c>
      <c r="O73" s="41">
        <f t="shared" ref="O73" si="298">M73+(N73*F73)</f>
        <v>3844</v>
      </c>
      <c r="P73" s="41"/>
      <c r="Q73" s="249" t="s">
        <v>50</v>
      </c>
      <c r="R73" s="179" t="s">
        <v>92</v>
      </c>
      <c r="S73" s="186" t="str">
        <f t="shared" ref="S73" si="299">CONCATENATE(Q73,R73,Y73)</f>
        <v>CPD2009</v>
      </c>
      <c r="T73"/>
      <c r="U73"/>
      <c r="V73"/>
      <c r="W73"/>
      <c r="X73"/>
      <c r="Y73" s="85">
        <v>2009</v>
      </c>
      <c r="Z73" s="2">
        <f t="shared" si="292"/>
        <v>0</v>
      </c>
      <c r="AA73" s="2">
        <f t="shared" si="292"/>
        <v>0</v>
      </c>
      <c r="AB73" s="2">
        <f t="shared" si="292"/>
        <v>0</v>
      </c>
      <c r="AC73" s="2">
        <f t="shared" si="292"/>
        <v>0</v>
      </c>
      <c r="AD73" s="2">
        <f t="shared" si="292"/>
        <v>0</v>
      </c>
      <c r="AE73" s="3">
        <f t="shared" si="293"/>
        <v>0</v>
      </c>
      <c r="AF73" s="39"/>
      <c r="AG73" s="37"/>
      <c r="AH73" s="37"/>
      <c r="AI73" s="31"/>
      <c r="AJ73" s="80">
        <f t="shared" si="294"/>
        <v>4</v>
      </c>
      <c r="AK73" s="10">
        <f t="shared" si="294"/>
        <v>8</v>
      </c>
      <c r="AL73" s="10">
        <f t="shared" si="294"/>
        <v>0</v>
      </c>
      <c r="AM73" s="10">
        <f t="shared" si="294"/>
        <v>16</v>
      </c>
      <c r="AN73" s="10">
        <f t="shared" si="294"/>
        <v>0</v>
      </c>
      <c r="AO73" s="2">
        <f t="shared" si="295"/>
        <v>0</v>
      </c>
      <c r="AP73" s="39"/>
    </row>
    <row r="74" spans="1:42" s="38" customFormat="1">
      <c r="A74" s="167" t="s">
        <v>140</v>
      </c>
      <c r="B74" s="40" t="s">
        <v>141</v>
      </c>
      <c r="C74">
        <v>1</v>
      </c>
      <c r="D74" s="40" t="s">
        <v>9</v>
      </c>
      <c r="E74" s="245">
        <v>1200</v>
      </c>
      <c r="F74" s="128">
        <f t="shared" si="288"/>
        <v>1200</v>
      </c>
      <c r="G74" s="243">
        <v>4</v>
      </c>
      <c r="H74" s="243">
        <v>0</v>
      </c>
      <c r="I74" s="139">
        <v>0</v>
      </c>
      <c r="J74" s="139">
        <v>4</v>
      </c>
      <c r="K74" s="140">
        <v>0</v>
      </c>
      <c r="L74" t="s">
        <v>8</v>
      </c>
      <c r="M74" s="31">
        <f t="shared" si="289"/>
        <v>1108</v>
      </c>
      <c r="N74">
        <v>1</v>
      </c>
      <c r="O74" s="41">
        <f t="shared" si="290"/>
        <v>2308</v>
      </c>
      <c r="P74" s="41"/>
      <c r="Q74" s="108" t="s">
        <v>49</v>
      </c>
      <c r="R74" s="179" t="s">
        <v>92</v>
      </c>
      <c r="S74" s="186" t="str">
        <f t="shared" si="291"/>
        <v>BPD2009</v>
      </c>
      <c r="T74"/>
      <c r="U74"/>
      <c r="V74"/>
      <c r="W74"/>
      <c r="X74"/>
      <c r="Y74" s="85">
        <v>2009</v>
      </c>
      <c r="Z74" s="2">
        <f t="shared" si="292"/>
        <v>4</v>
      </c>
      <c r="AA74" s="2">
        <f t="shared" si="292"/>
        <v>0</v>
      </c>
      <c r="AB74" s="2">
        <f t="shared" si="292"/>
        <v>0</v>
      </c>
      <c r="AC74" s="2">
        <f t="shared" si="292"/>
        <v>4</v>
      </c>
      <c r="AD74" s="2">
        <f t="shared" si="292"/>
        <v>0</v>
      </c>
      <c r="AE74" s="3">
        <f t="shared" si="293"/>
        <v>1200</v>
      </c>
      <c r="AF74" s="39"/>
      <c r="AG74" s="37"/>
      <c r="AH74" s="37"/>
      <c r="AI74" s="31"/>
      <c r="AJ74" s="80">
        <f t="shared" si="294"/>
        <v>0</v>
      </c>
      <c r="AK74" s="10">
        <f t="shared" si="294"/>
        <v>0</v>
      </c>
      <c r="AL74" s="10">
        <f t="shared" si="294"/>
        <v>0</v>
      </c>
      <c r="AM74" s="10">
        <f t="shared" si="294"/>
        <v>0</v>
      </c>
      <c r="AN74" s="10">
        <f t="shared" si="294"/>
        <v>0</v>
      </c>
      <c r="AO74" s="2">
        <f t="shared" si="295"/>
        <v>0</v>
      </c>
      <c r="AP74" s="39"/>
    </row>
    <row r="75" spans="1:42" s="38" customFormat="1">
      <c r="A75" s="167" t="s">
        <v>154</v>
      </c>
      <c r="B75" s="40" t="s">
        <v>34</v>
      </c>
      <c r="C75">
        <v>0</v>
      </c>
      <c r="D75" s="40" t="s">
        <v>9</v>
      </c>
      <c r="E75" s="31">
        <v>0</v>
      </c>
      <c r="F75" s="128">
        <f t="shared" ref="F75:F76" si="300">E75*C75</f>
        <v>0</v>
      </c>
      <c r="G75" s="243">
        <v>24</v>
      </c>
      <c r="H75" s="139">
        <v>0</v>
      </c>
      <c r="I75" s="139">
        <v>0</v>
      </c>
      <c r="J75" s="139">
        <v>24</v>
      </c>
      <c r="K75" s="140">
        <v>0</v>
      </c>
      <c r="L75" t="s">
        <v>8</v>
      </c>
      <c r="M75" s="31">
        <f t="shared" ref="M75:M76" si="301">((Shop*G75)+(M_Tech*H75)+(CMM*I75)+(ENG*J75)+(DES*K75))*N75</f>
        <v>6648</v>
      </c>
      <c r="N75">
        <v>1</v>
      </c>
      <c r="O75" s="41">
        <f t="shared" ref="O75:O76" si="302">M75+(N75*F75)</f>
        <v>6648</v>
      </c>
      <c r="P75" s="41"/>
      <c r="Q75" s="108" t="s">
        <v>50</v>
      </c>
      <c r="R75" s="179" t="s">
        <v>92</v>
      </c>
      <c r="S75" s="186" t="str">
        <f t="shared" ref="S75:S76" si="303">CONCATENATE(Q75,R75,Y75)</f>
        <v>CPD2009</v>
      </c>
      <c r="T75"/>
      <c r="U75"/>
      <c r="V75"/>
      <c r="W75"/>
      <c r="X75"/>
      <c r="Y75" s="85">
        <v>2009</v>
      </c>
      <c r="Z75" s="2">
        <f t="shared" si="292"/>
        <v>0</v>
      </c>
      <c r="AA75" s="2">
        <f t="shared" si="292"/>
        <v>0</v>
      </c>
      <c r="AB75" s="2">
        <f t="shared" si="292"/>
        <v>0</v>
      </c>
      <c r="AC75" s="2">
        <f t="shared" si="292"/>
        <v>0</v>
      </c>
      <c r="AD75" s="2">
        <f t="shared" si="292"/>
        <v>0</v>
      </c>
      <c r="AE75" s="3">
        <f t="shared" si="293"/>
        <v>0</v>
      </c>
      <c r="AF75" s="39"/>
      <c r="AG75" s="37"/>
      <c r="AH75" s="37"/>
      <c r="AI75" s="31"/>
      <c r="AJ75" s="80">
        <f t="shared" si="294"/>
        <v>24</v>
      </c>
      <c r="AK75" s="10">
        <f t="shared" si="294"/>
        <v>0</v>
      </c>
      <c r="AL75" s="10">
        <f t="shared" si="294"/>
        <v>0</v>
      </c>
      <c r="AM75" s="10">
        <f t="shared" si="294"/>
        <v>24</v>
      </c>
      <c r="AN75" s="10">
        <f t="shared" si="294"/>
        <v>0</v>
      </c>
      <c r="AO75" s="2">
        <f t="shared" si="295"/>
        <v>0</v>
      </c>
      <c r="AP75" s="39"/>
    </row>
    <row r="76" spans="1:42" s="38" customFormat="1">
      <c r="A76" s="167" t="s">
        <v>155</v>
      </c>
      <c r="B76" s="40" t="s">
        <v>141</v>
      </c>
      <c r="C76">
        <v>1</v>
      </c>
      <c r="D76" s="40" t="s">
        <v>9</v>
      </c>
      <c r="E76" s="245">
        <v>1200</v>
      </c>
      <c r="F76" s="128">
        <f t="shared" si="300"/>
        <v>1200</v>
      </c>
      <c r="G76" s="243">
        <v>4</v>
      </c>
      <c r="H76" s="243">
        <v>0</v>
      </c>
      <c r="I76" s="139">
        <v>0</v>
      </c>
      <c r="J76" s="139">
        <v>4</v>
      </c>
      <c r="K76" s="140">
        <v>0</v>
      </c>
      <c r="L76" t="s">
        <v>8</v>
      </c>
      <c r="M76" s="31">
        <f t="shared" si="301"/>
        <v>1108</v>
      </c>
      <c r="N76">
        <v>1</v>
      </c>
      <c r="O76" s="41">
        <f t="shared" si="302"/>
        <v>2308</v>
      </c>
      <c r="P76" s="41"/>
      <c r="Q76" s="108" t="s">
        <v>50</v>
      </c>
      <c r="R76" s="179" t="s">
        <v>92</v>
      </c>
      <c r="S76" s="186" t="str">
        <f t="shared" si="303"/>
        <v>CPD2009</v>
      </c>
      <c r="T76"/>
      <c r="U76"/>
      <c r="V76"/>
      <c r="W76"/>
      <c r="X76"/>
      <c r="Y76" s="85">
        <v>2009</v>
      </c>
      <c r="Z76" s="2">
        <f t="shared" si="292"/>
        <v>0</v>
      </c>
      <c r="AA76" s="2">
        <f t="shared" si="292"/>
        <v>0</v>
      </c>
      <c r="AB76" s="2">
        <f t="shared" si="292"/>
        <v>0</v>
      </c>
      <c r="AC76" s="2">
        <f t="shared" si="292"/>
        <v>0</v>
      </c>
      <c r="AD76" s="2">
        <f t="shared" si="292"/>
        <v>0</v>
      </c>
      <c r="AE76" s="3">
        <f t="shared" si="293"/>
        <v>0</v>
      </c>
      <c r="AF76" s="39"/>
      <c r="AG76" s="37"/>
      <c r="AH76" s="37"/>
      <c r="AI76" s="31"/>
      <c r="AJ76" s="80">
        <f t="shared" si="294"/>
        <v>4</v>
      </c>
      <c r="AK76" s="10">
        <f t="shared" si="294"/>
        <v>0</v>
      </c>
      <c r="AL76" s="10">
        <f t="shared" si="294"/>
        <v>0</v>
      </c>
      <c r="AM76" s="10">
        <f t="shared" si="294"/>
        <v>4</v>
      </c>
      <c r="AN76" s="10">
        <f t="shared" si="294"/>
        <v>0</v>
      </c>
      <c r="AO76" s="2">
        <f t="shared" si="295"/>
        <v>1200</v>
      </c>
      <c r="AP76" s="39"/>
    </row>
    <row r="77" spans="1:42" s="38" customFormat="1">
      <c r="A77" s="167" t="s">
        <v>142</v>
      </c>
      <c r="B77" s="40" t="s">
        <v>7</v>
      </c>
      <c r="C77">
        <v>20</v>
      </c>
      <c r="D77" s="40" t="s">
        <v>41</v>
      </c>
      <c r="E77" s="31">
        <v>8</v>
      </c>
      <c r="F77" s="128">
        <f t="shared" si="288"/>
        <v>160</v>
      </c>
      <c r="G77" s="139">
        <v>24</v>
      </c>
      <c r="H77" s="139">
        <v>0</v>
      </c>
      <c r="I77" s="139">
        <v>0</v>
      </c>
      <c r="J77" s="139">
        <v>24</v>
      </c>
      <c r="K77" s="140">
        <v>0</v>
      </c>
      <c r="L77" t="s">
        <v>8</v>
      </c>
      <c r="M77" s="31">
        <f t="shared" si="289"/>
        <v>6648</v>
      </c>
      <c r="N77">
        <v>1</v>
      </c>
      <c r="O77" s="41">
        <f t="shared" si="290"/>
        <v>6808</v>
      </c>
      <c r="P77" s="41"/>
      <c r="Q77" s="108" t="s">
        <v>49</v>
      </c>
      <c r="R77" s="179" t="s">
        <v>92</v>
      </c>
      <c r="S77" s="186" t="str">
        <f t="shared" si="291"/>
        <v>BPD2009</v>
      </c>
      <c r="T77"/>
      <c r="U77"/>
      <c r="V77"/>
      <c r="W77"/>
      <c r="X77"/>
      <c r="Y77" s="85">
        <v>2009</v>
      </c>
      <c r="Z77" s="2">
        <f t="shared" si="292"/>
        <v>24</v>
      </c>
      <c r="AA77" s="2">
        <f t="shared" si="292"/>
        <v>0</v>
      </c>
      <c r="AB77" s="2">
        <f t="shared" si="292"/>
        <v>0</v>
      </c>
      <c r="AC77" s="2">
        <f t="shared" si="292"/>
        <v>24</v>
      </c>
      <c r="AD77" s="2">
        <f t="shared" si="292"/>
        <v>0</v>
      </c>
      <c r="AE77" s="3">
        <f t="shared" si="293"/>
        <v>160</v>
      </c>
      <c r="AF77" s="39"/>
      <c r="AG77" s="37"/>
      <c r="AH77" s="37"/>
      <c r="AI77" s="31"/>
      <c r="AJ77" s="80">
        <f t="shared" si="294"/>
        <v>0</v>
      </c>
      <c r="AK77" s="10">
        <f t="shared" si="294"/>
        <v>0</v>
      </c>
      <c r="AL77" s="10">
        <f t="shared" si="294"/>
        <v>0</v>
      </c>
      <c r="AM77" s="10">
        <f t="shared" si="294"/>
        <v>0</v>
      </c>
      <c r="AN77" s="10">
        <f t="shared" si="294"/>
        <v>0</v>
      </c>
      <c r="AO77" s="2">
        <f t="shared" si="295"/>
        <v>0</v>
      </c>
      <c r="AP77" s="39"/>
    </row>
    <row r="78" spans="1:42" s="155" customFormat="1">
      <c r="A78" s="102" t="s">
        <v>195</v>
      </c>
      <c r="E78" s="156"/>
      <c r="F78" s="157"/>
      <c r="G78" s="158"/>
      <c r="H78" s="158"/>
      <c r="I78" s="158"/>
      <c r="J78" s="158"/>
      <c r="K78" s="159"/>
      <c r="L78" s="169" t="s">
        <v>79</v>
      </c>
      <c r="M78" s="170">
        <f>SUMIF(Q72:Q77,"B",M72:M77)</f>
        <v>14036</v>
      </c>
      <c r="N78" s="171" t="s">
        <v>79</v>
      </c>
      <c r="O78" s="170">
        <f>SUMIF(Q72:Q77,"B",O72:O77)</f>
        <v>16196</v>
      </c>
      <c r="P78" s="160"/>
      <c r="Q78" s="161"/>
      <c r="R78" s="181"/>
      <c r="S78" s="188"/>
      <c r="T78"/>
      <c r="U78"/>
      <c r="V78"/>
      <c r="W78"/>
      <c r="X78"/>
      <c r="Y78" s="162"/>
      <c r="Z78" s="163"/>
      <c r="AA78" s="163"/>
      <c r="AB78" s="163"/>
      <c r="AC78" s="163"/>
      <c r="AD78" s="163"/>
      <c r="AE78" s="164"/>
      <c r="AF78" s="165"/>
      <c r="AG78" s="163"/>
      <c r="AH78" s="163"/>
      <c r="AI78" s="31"/>
      <c r="AJ78" s="166"/>
      <c r="AK78" s="163"/>
      <c r="AL78" s="163"/>
      <c r="AM78" s="163"/>
      <c r="AN78" s="163"/>
      <c r="AO78" s="163"/>
      <c r="AP78" s="165"/>
    </row>
    <row r="79" spans="1:42" s="38" customFormat="1">
      <c r="A79" s="167" t="s">
        <v>143</v>
      </c>
      <c r="B79" s="40" t="s">
        <v>7</v>
      </c>
      <c r="C79">
        <v>40</v>
      </c>
      <c r="D79" s="40" t="s">
        <v>41</v>
      </c>
      <c r="E79" s="31">
        <v>8</v>
      </c>
      <c r="F79" s="128">
        <f>E79*C79</f>
        <v>320</v>
      </c>
      <c r="G79" s="243">
        <v>0</v>
      </c>
      <c r="H79" s="243">
        <v>8</v>
      </c>
      <c r="I79" s="139">
        <v>0</v>
      </c>
      <c r="J79" s="139">
        <v>8</v>
      </c>
      <c r="K79" s="140">
        <v>0</v>
      </c>
      <c r="L79" t="s">
        <v>8</v>
      </c>
      <c r="M79" s="31">
        <f>((Shop*G79)+(M_Tech*H79)+(CMM*I79)+(ENG*J79)+(DES*K79))*N79</f>
        <v>2136</v>
      </c>
      <c r="N79">
        <v>1</v>
      </c>
      <c r="O79" s="41">
        <f>M79+(N79*F79)</f>
        <v>2456</v>
      </c>
      <c r="P79" s="41"/>
      <c r="Q79" s="108" t="s">
        <v>49</v>
      </c>
      <c r="R79" s="179" t="s">
        <v>92</v>
      </c>
      <c r="S79" s="186" t="str">
        <f t="shared" ref="S79:S80" si="304">CONCATENATE(Q79,R79,Y79)</f>
        <v>BPD2009</v>
      </c>
      <c r="T79"/>
      <c r="U79"/>
      <c r="V79"/>
      <c r="W79"/>
      <c r="X79"/>
      <c r="Y79" s="85">
        <v>2009</v>
      </c>
      <c r="Z79" s="2">
        <f t="shared" ref="Z79:AD80" si="305">IF($Q79="B", (G79*$N79),0)</f>
        <v>0</v>
      </c>
      <c r="AA79" s="2">
        <f t="shared" si="305"/>
        <v>8</v>
      </c>
      <c r="AB79" s="2">
        <f t="shared" si="305"/>
        <v>0</v>
      </c>
      <c r="AC79" s="2">
        <f t="shared" si="305"/>
        <v>8</v>
      </c>
      <c r="AD79" s="2">
        <f t="shared" si="305"/>
        <v>0</v>
      </c>
      <c r="AE79" s="3">
        <f>IF($Q79="B", (F79*$N79),0)</f>
        <v>320</v>
      </c>
      <c r="AF79" s="39"/>
      <c r="AG79" s="37"/>
      <c r="AH79" s="37"/>
      <c r="AI79" s="31"/>
      <c r="AJ79" s="80">
        <f t="shared" ref="AJ79:AN80" si="306">IF($Q79="C", (G79*$N79),0)</f>
        <v>0</v>
      </c>
      <c r="AK79" s="10">
        <f t="shared" si="306"/>
        <v>0</v>
      </c>
      <c r="AL79" s="10">
        <f t="shared" si="306"/>
        <v>0</v>
      </c>
      <c r="AM79" s="10">
        <f t="shared" si="306"/>
        <v>0</v>
      </c>
      <c r="AN79" s="10">
        <f t="shared" si="306"/>
        <v>0</v>
      </c>
      <c r="AO79" s="2">
        <f>IF($Q79="C", (F79*$N79),0)</f>
        <v>0</v>
      </c>
      <c r="AP79" s="39"/>
    </row>
    <row r="80" spans="1:42" s="38" customFormat="1">
      <c r="A80" s="167" t="s">
        <v>144</v>
      </c>
      <c r="B80" s="40" t="s">
        <v>7</v>
      </c>
      <c r="C80">
        <v>40</v>
      </c>
      <c r="D80" s="40" t="s">
        <v>41</v>
      </c>
      <c r="E80" s="31">
        <v>8</v>
      </c>
      <c r="F80" s="128">
        <f>E80*C80</f>
        <v>320</v>
      </c>
      <c r="G80" s="139">
        <v>16</v>
      </c>
      <c r="H80" s="139">
        <v>0</v>
      </c>
      <c r="I80" s="139">
        <v>0</v>
      </c>
      <c r="J80" s="139">
        <v>8</v>
      </c>
      <c r="K80" s="140">
        <v>0</v>
      </c>
      <c r="L80" t="s">
        <v>8</v>
      </c>
      <c r="M80" s="31">
        <f>((Shop*G80)+(M_Tech*H80)+(CMM*I80)+(ENG*J80)+(DES*K80))*N80</f>
        <v>3232</v>
      </c>
      <c r="N80">
        <v>1</v>
      </c>
      <c r="O80" s="41">
        <f>M80+(N80*F80)</f>
        <v>3552</v>
      </c>
      <c r="P80" s="41"/>
      <c r="Q80" s="108" t="s">
        <v>49</v>
      </c>
      <c r="R80" s="179" t="s">
        <v>92</v>
      </c>
      <c r="S80" s="186" t="str">
        <f t="shared" si="304"/>
        <v>BPD2009</v>
      </c>
      <c r="T80"/>
      <c r="U80"/>
      <c r="V80"/>
      <c r="W80"/>
      <c r="X80"/>
      <c r="Y80" s="85">
        <v>2009</v>
      </c>
      <c r="Z80" s="2">
        <f t="shared" si="305"/>
        <v>16</v>
      </c>
      <c r="AA80" s="2">
        <f t="shared" si="305"/>
        <v>0</v>
      </c>
      <c r="AB80" s="2">
        <f t="shared" si="305"/>
        <v>0</v>
      </c>
      <c r="AC80" s="2">
        <f t="shared" si="305"/>
        <v>8</v>
      </c>
      <c r="AD80" s="2">
        <f t="shared" si="305"/>
        <v>0</v>
      </c>
      <c r="AE80" s="3">
        <f>IF($Q80="B", (F80*$N80),0)</f>
        <v>320</v>
      </c>
      <c r="AF80" s="39"/>
      <c r="AG80" s="37"/>
      <c r="AH80" s="37"/>
      <c r="AI80" s="31"/>
      <c r="AJ80" s="80">
        <f t="shared" si="306"/>
        <v>0</v>
      </c>
      <c r="AK80" s="10">
        <f t="shared" si="306"/>
        <v>0</v>
      </c>
      <c r="AL80" s="10">
        <f t="shared" si="306"/>
        <v>0</v>
      </c>
      <c r="AM80" s="10">
        <f t="shared" si="306"/>
        <v>0</v>
      </c>
      <c r="AN80" s="10">
        <f t="shared" si="306"/>
        <v>0</v>
      </c>
      <c r="AO80" s="2">
        <f>IF($Q80="C", (F80*$N80),0)</f>
        <v>0</v>
      </c>
      <c r="AP80" s="39"/>
    </row>
    <row r="81" spans="1:42" s="155" customFormat="1">
      <c r="A81" s="102" t="s">
        <v>145</v>
      </c>
      <c r="E81" s="156"/>
      <c r="F81" s="157"/>
      <c r="G81" s="158"/>
      <c r="H81" s="158"/>
      <c r="I81" s="158"/>
      <c r="J81" s="158"/>
      <c r="K81" s="159"/>
      <c r="L81" s="169" t="s">
        <v>79</v>
      </c>
      <c r="M81" s="170">
        <f>SUMIF(Q79:Q80,"B",M79:M80)</f>
        <v>5368</v>
      </c>
      <c r="N81" s="171" t="s">
        <v>79</v>
      </c>
      <c r="O81" s="170">
        <f ca="1">SUMIF(Q79:X80,"B",O79:O80)</f>
        <v>6008</v>
      </c>
      <c r="P81" s="160"/>
      <c r="Q81" s="161"/>
      <c r="R81" s="181"/>
      <c r="S81" s="188"/>
      <c r="T81"/>
      <c r="U81"/>
      <c r="V81"/>
      <c r="W81"/>
      <c r="X81"/>
      <c r="Y81" s="162"/>
      <c r="Z81" s="163"/>
      <c r="AA81" s="163"/>
      <c r="AB81" s="163"/>
      <c r="AC81" s="163"/>
      <c r="AD81" s="163"/>
      <c r="AE81" s="164"/>
      <c r="AF81" s="165"/>
      <c r="AG81" s="163"/>
      <c r="AH81" s="163"/>
      <c r="AI81" s="31"/>
      <c r="AJ81" s="166"/>
      <c r="AK81" s="163"/>
      <c r="AL81" s="163"/>
      <c r="AM81" s="163"/>
      <c r="AN81" s="163"/>
      <c r="AO81" s="163"/>
      <c r="AP81" s="165"/>
    </row>
    <row r="82" spans="1:42" s="38" customFormat="1">
      <c r="A82" s="167" t="s">
        <v>146</v>
      </c>
      <c r="B82" s="40" t="s">
        <v>7</v>
      </c>
      <c r="C82">
        <v>20</v>
      </c>
      <c r="D82" s="40" t="s">
        <v>9</v>
      </c>
      <c r="E82" s="31">
        <v>8</v>
      </c>
      <c r="F82" s="128">
        <f t="shared" ref="F82:F84" si="307">E82*C82</f>
        <v>160</v>
      </c>
      <c r="G82" s="139">
        <v>16</v>
      </c>
      <c r="H82" s="139">
        <v>4</v>
      </c>
      <c r="I82" s="139">
        <v>0</v>
      </c>
      <c r="J82" s="139">
        <v>8</v>
      </c>
      <c r="K82" s="140">
        <v>0</v>
      </c>
      <c r="L82" t="s">
        <v>8</v>
      </c>
      <c r="M82" s="31">
        <f t="shared" ref="M82:M84" si="308">((Shop*G82)+(M_Tech*H82)+(CMM*I82)+(ENG*J82)+(DES*K82))*N82</f>
        <v>0</v>
      </c>
      <c r="N82" s="242">
        <v>0</v>
      </c>
      <c r="O82" s="41">
        <f t="shared" ref="O82:O84" si="309">M82+(N82*F82)</f>
        <v>0</v>
      </c>
      <c r="P82" s="41"/>
      <c r="Q82" s="108" t="s">
        <v>49</v>
      </c>
      <c r="R82" s="179" t="s">
        <v>92</v>
      </c>
      <c r="S82" s="186" t="str">
        <f t="shared" ref="S82:S84" si="310">CONCATENATE(Q82,R82,Y82)</f>
        <v>BPD2009</v>
      </c>
      <c r="T82"/>
      <c r="U82"/>
      <c r="V82"/>
      <c r="W82"/>
      <c r="X82"/>
      <c r="Y82" s="85">
        <v>2009</v>
      </c>
      <c r="Z82" s="2">
        <f t="shared" ref="Z82:AD85" si="311">IF($Q82="B", (G82*$N82),0)</f>
        <v>0</v>
      </c>
      <c r="AA82" s="2">
        <f t="shared" si="311"/>
        <v>0</v>
      </c>
      <c r="AB82" s="2">
        <f t="shared" si="311"/>
        <v>0</v>
      </c>
      <c r="AC82" s="2">
        <f t="shared" si="311"/>
        <v>0</v>
      </c>
      <c r="AD82" s="2">
        <f t="shared" si="311"/>
        <v>0</v>
      </c>
      <c r="AE82" s="3">
        <f>IF($Q82="B", (F82*$N82),0)</f>
        <v>0</v>
      </c>
      <c r="AF82" s="39"/>
      <c r="AG82" s="37"/>
      <c r="AH82" s="37"/>
      <c r="AI82" s="31"/>
      <c r="AJ82" s="80">
        <f t="shared" ref="AJ82:AN85" si="312">IF($Q82="C", (G82*$N82),0)</f>
        <v>0</v>
      </c>
      <c r="AK82" s="10">
        <f t="shared" si="312"/>
        <v>0</v>
      </c>
      <c r="AL82" s="10">
        <f t="shared" si="312"/>
        <v>0</v>
      </c>
      <c r="AM82" s="10">
        <f t="shared" si="312"/>
        <v>0</v>
      </c>
      <c r="AN82" s="10">
        <f t="shared" si="312"/>
        <v>0</v>
      </c>
      <c r="AO82" s="2">
        <f>IF($Q82="C", (F82*$N82),0)</f>
        <v>0</v>
      </c>
      <c r="AP82" s="39"/>
    </row>
    <row r="83" spans="1:42" s="38" customFormat="1">
      <c r="A83" s="167" t="s">
        <v>147</v>
      </c>
      <c r="B83" s="40" t="s">
        <v>7</v>
      </c>
      <c r="C83">
        <v>30</v>
      </c>
      <c r="D83" s="40" t="s">
        <v>9</v>
      </c>
      <c r="E83" s="31">
        <v>8</v>
      </c>
      <c r="F83" s="128">
        <f t="shared" si="307"/>
        <v>240</v>
      </c>
      <c r="G83" s="139">
        <v>24</v>
      </c>
      <c r="H83" s="139">
        <v>4</v>
      </c>
      <c r="I83" s="139">
        <v>0</v>
      </c>
      <c r="J83" s="139">
        <v>16</v>
      </c>
      <c r="K83" s="140">
        <v>0</v>
      </c>
      <c r="L83" t="s">
        <v>8</v>
      </c>
      <c r="M83" s="31">
        <f t="shared" si="308"/>
        <v>5916</v>
      </c>
      <c r="N83">
        <v>1</v>
      </c>
      <c r="O83" s="41">
        <f t="shared" si="309"/>
        <v>6156</v>
      </c>
      <c r="P83" s="41"/>
      <c r="Q83" s="108" t="s">
        <v>49</v>
      </c>
      <c r="R83" s="179" t="s">
        <v>92</v>
      </c>
      <c r="S83" s="186" t="str">
        <f t="shared" si="310"/>
        <v>BPD2009</v>
      </c>
      <c r="T83"/>
      <c r="U83"/>
      <c r="V83"/>
      <c r="W83"/>
      <c r="X83"/>
      <c r="Y83" s="85">
        <v>2009</v>
      </c>
      <c r="Z83" s="2">
        <f t="shared" si="311"/>
        <v>24</v>
      </c>
      <c r="AA83" s="2">
        <f t="shared" si="311"/>
        <v>4</v>
      </c>
      <c r="AB83" s="2">
        <f t="shared" si="311"/>
        <v>0</v>
      </c>
      <c r="AC83" s="2">
        <f t="shared" si="311"/>
        <v>16</v>
      </c>
      <c r="AD83" s="2">
        <f t="shared" si="311"/>
        <v>0</v>
      </c>
      <c r="AE83" s="3">
        <f>IF($Q83="B", (F83*$N83),0)</f>
        <v>240</v>
      </c>
      <c r="AF83" s="39"/>
      <c r="AG83" s="37"/>
      <c r="AH83" s="37"/>
      <c r="AI83" s="31"/>
      <c r="AJ83" s="80">
        <f t="shared" si="312"/>
        <v>0</v>
      </c>
      <c r="AK83" s="10">
        <f t="shared" si="312"/>
        <v>0</v>
      </c>
      <c r="AL83" s="10">
        <f t="shared" si="312"/>
        <v>0</v>
      </c>
      <c r="AM83" s="10">
        <f t="shared" si="312"/>
        <v>0</v>
      </c>
      <c r="AN83" s="10">
        <f t="shared" si="312"/>
        <v>0</v>
      </c>
      <c r="AO83" s="2">
        <f>IF($Q83="C", (F83*$N83),0)</f>
        <v>0</v>
      </c>
      <c r="AP83" s="39"/>
    </row>
    <row r="84" spans="1:42" s="38" customFormat="1">
      <c r="A84" s="167" t="s">
        <v>148</v>
      </c>
      <c r="B84" s="40" t="s">
        <v>7</v>
      </c>
      <c r="C84">
        <v>20</v>
      </c>
      <c r="D84" s="40" t="s">
        <v>9</v>
      </c>
      <c r="E84" s="31">
        <v>8</v>
      </c>
      <c r="F84" s="128">
        <f t="shared" si="307"/>
        <v>160</v>
      </c>
      <c r="G84" s="139">
        <v>24</v>
      </c>
      <c r="H84" s="139">
        <v>4</v>
      </c>
      <c r="I84" s="139">
        <v>0</v>
      </c>
      <c r="J84" s="139">
        <v>16</v>
      </c>
      <c r="K84" s="140">
        <v>0</v>
      </c>
      <c r="L84" t="s">
        <v>8</v>
      </c>
      <c r="M84" s="31">
        <f t="shared" si="308"/>
        <v>0</v>
      </c>
      <c r="N84" s="242">
        <v>0</v>
      </c>
      <c r="O84" s="41">
        <f t="shared" si="309"/>
        <v>0</v>
      </c>
      <c r="P84" s="41"/>
      <c r="Q84" s="108" t="s">
        <v>50</v>
      </c>
      <c r="R84" s="179" t="s">
        <v>92</v>
      </c>
      <c r="S84" s="186" t="str">
        <f t="shared" si="310"/>
        <v>CPD2009</v>
      </c>
      <c r="T84"/>
      <c r="U84"/>
      <c r="V84"/>
      <c r="W84"/>
      <c r="X84"/>
      <c r="Y84" s="85">
        <v>2009</v>
      </c>
      <c r="Z84" s="2">
        <f t="shared" si="311"/>
        <v>0</v>
      </c>
      <c r="AA84" s="2">
        <f t="shared" si="311"/>
        <v>0</v>
      </c>
      <c r="AB84" s="2">
        <f t="shared" si="311"/>
        <v>0</v>
      </c>
      <c r="AC84" s="2">
        <f t="shared" si="311"/>
        <v>0</v>
      </c>
      <c r="AD84" s="2">
        <f t="shared" si="311"/>
        <v>0</v>
      </c>
      <c r="AE84" s="3">
        <f>IF($Q84="B", (F84*$N84),0)</f>
        <v>0</v>
      </c>
      <c r="AF84" s="39"/>
      <c r="AG84" s="37"/>
      <c r="AH84" s="37"/>
      <c r="AI84" s="31"/>
      <c r="AJ84" s="80">
        <f t="shared" si="312"/>
        <v>0</v>
      </c>
      <c r="AK84" s="10">
        <f t="shared" si="312"/>
        <v>0</v>
      </c>
      <c r="AL84" s="10">
        <f t="shared" si="312"/>
        <v>0</v>
      </c>
      <c r="AM84" s="10">
        <f t="shared" si="312"/>
        <v>0</v>
      </c>
      <c r="AN84" s="10">
        <f t="shared" si="312"/>
        <v>0</v>
      </c>
      <c r="AO84" s="2">
        <f>IF($Q84="C", (F84*$N84),0)</f>
        <v>0</v>
      </c>
      <c r="AP84" s="39"/>
    </row>
    <row r="85" spans="1:42" s="38" customFormat="1">
      <c r="A85" s="167" t="s">
        <v>144</v>
      </c>
      <c r="B85" s="40" t="s">
        <v>7</v>
      </c>
      <c r="C85">
        <v>20</v>
      </c>
      <c r="D85" s="40" t="s">
        <v>9</v>
      </c>
      <c r="E85" s="31">
        <v>8</v>
      </c>
      <c r="F85" s="128">
        <f t="shared" ref="F85" si="313">E85*C85</f>
        <v>160</v>
      </c>
      <c r="G85" s="139">
        <v>24</v>
      </c>
      <c r="H85" s="139">
        <v>4</v>
      </c>
      <c r="I85" s="139">
        <v>0</v>
      </c>
      <c r="J85" s="139">
        <v>8</v>
      </c>
      <c r="K85" s="140">
        <v>0</v>
      </c>
      <c r="L85" t="s">
        <v>8</v>
      </c>
      <c r="M85" s="31">
        <f t="shared" ref="M85" si="314">((Shop*G85)+(M_Tech*H85)+(CMM*I85)+(ENG*J85)+(DES*K85))*N85</f>
        <v>0</v>
      </c>
      <c r="N85" s="242">
        <v>0</v>
      </c>
      <c r="O85" s="41">
        <f t="shared" ref="O85" si="315">M85+(N85*F85)</f>
        <v>0</v>
      </c>
      <c r="P85" s="41"/>
      <c r="Q85" s="108" t="s">
        <v>49</v>
      </c>
      <c r="R85" s="179" t="s">
        <v>92</v>
      </c>
      <c r="S85" s="186" t="str">
        <f t="shared" ref="S85" si="316">CONCATENATE(Q85,R85,Y85)</f>
        <v>BPD2009</v>
      </c>
      <c r="T85"/>
      <c r="U85"/>
      <c r="V85"/>
      <c r="W85"/>
      <c r="X85"/>
      <c r="Y85" s="85">
        <v>2009</v>
      </c>
      <c r="Z85" s="2">
        <f t="shared" si="311"/>
        <v>0</v>
      </c>
      <c r="AA85" s="2">
        <f t="shared" si="311"/>
        <v>0</v>
      </c>
      <c r="AB85" s="2">
        <f t="shared" si="311"/>
        <v>0</v>
      </c>
      <c r="AC85" s="2">
        <f t="shared" si="311"/>
        <v>0</v>
      </c>
      <c r="AD85" s="2">
        <f t="shared" si="311"/>
        <v>0</v>
      </c>
      <c r="AE85" s="3">
        <f>IF($Q85="B", (F85*$N85),0)</f>
        <v>0</v>
      </c>
      <c r="AF85" s="39"/>
      <c r="AG85" s="37"/>
      <c r="AH85" s="37"/>
      <c r="AI85" s="31"/>
      <c r="AJ85" s="80">
        <f t="shared" si="312"/>
        <v>0</v>
      </c>
      <c r="AK85" s="10">
        <f t="shared" si="312"/>
        <v>0</v>
      </c>
      <c r="AL85" s="10">
        <f t="shared" si="312"/>
        <v>0</v>
      </c>
      <c r="AM85" s="10">
        <f t="shared" si="312"/>
        <v>0</v>
      </c>
      <c r="AN85" s="10">
        <f t="shared" si="312"/>
        <v>0</v>
      </c>
      <c r="AO85" s="2">
        <f>IF($Q85="C", (F85*$N85),0)</f>
        <v>0</v>
      </c>
      <c r="AP85" s="39"/>
    </row>
    <row r="86" spans="1:42" s="155" customFormat="1">
      <c r="A86" s="102" t="s">
        <v>299</v>
      </c>
      <c r="E86" s="156"/>
      <c r="F86" s="157"/>
      <c r="G86" s="158"/>
      <c r="H86" s="158"/>
      <c r="I86" s="158"/>
      <c r="J86" s="158"/>
      <c r="K86" s="159"/>
      <c r="L86" s="169" t="s">
        <v>79</v>
      </c>
      <c r="M86" s="170">
        <f>SUMIF(Q82:Q85,"B",M82:M85)</f>
        <v>5916</v>
      </c>
      <c r="N86" s="171" t="s">
        <v>79</v>
      </c>
      <c r="O86" s="170">
        <f>SUMIF(Q82:Q84,"B",O82:O84)</f>
        <v>6156</v>
      </c>
      <c r="P86" s="160"/>
      <c r="Q86" s="161"/>
      <c r="R86" s="181"/>
      <c r="S86" s="188"/>
      <c r="T86"/>
      <c r="U86"/>
      <c r="V86"/>
      <c r="W86"/>
      <c r="X86"/>
      <c r="Y86" s="162"/>
      <c r="Z86" s="163"/>
      <c r="AA86" s="163"/>
      <c r="AB86" s="163"/>
      <c r="AC86" s="163"/>
      <c r="AD86" s="163"/>
      <c r="AE86" s="164"/>
      <c r="AF86" s="165"/>
      <c r="AG86" s="163"/>
      <c r="AH86" s="163"/>
      <c r="AI86" s="31"/>
      <c r="AJ86" s="166"/>
      <c r="AK86" s="163"/>
      <c r="AL86" s="163"/>
      <c r="AM86" s="163"/>
      <c r="AN86" s="163"/>
      <c r="AO86" s="163"/>
      <c r="AP86" s="165"/>
    </row>
    <row r="87" spans="1:42" s="38" customFormat="1">
      <c r="A87" s="167" t="s">
        <v>143</v>
      </c>
      <c r="B87" s="242" t="s">
        <v>7</v>
      </c>
      <c r="C87" s="242">
        <v>120</v>
      </c>
      <c r="D87" s="242" t="s">
        <v>41</v>
      </c>
      <c r="E87" s="245">
        <v>8</v>
      </c>
      <c r="F87" s="128">
        <f t="shared" ref="F87:F89" si="317">E87*C87</f>
        <v>960</v>
      </c>
      <c r="G87" s="243">
        <v>4</v>
      </c>
      <c r="H87" s="243">
        <v>8</v>
      </c>
      <c r="I87" s="139">
        <v>0</v>
      </c>
      <c r="J87" s="243">
        <v>0</v>
      </c>
      <c r="K87" s="140">
        <v>0</v>
      </c>
      <c r="L87" t="s">
        <v>8</v>
      </c>
      <c r="M87" s="31">
        <f t="shared" ref="M87:M89" si="318">((Shop*G87)+(M_Tech*H87)+(CMM*I87)+(ENG*J87)+(DES*K87))*N87</f>
        <v>1444</v>
      </c>
      <c r="N87">
        <v>1</v>
      </c>
      <c r="O87" s="41">
        <f t="shared" ref="O87:O89" si="319">M87+(N87*F87)</f>
        <v>2404</v>
      </c>
      <c r="P87" s="41"/>
      <c r="Q87" s="108" t="s">
        <v>49</v>
      </c>
      <c r="R87" s="179" t="s">
        <v>92</v>
      </c>
      <c r="S87" s="186" t="str">
        <f t="shared" ref="S87:S89" si="320">CONCATENATE(Q87,R87,Y87)</f>
        <v>BPD2009</v>
      </c>
      <c r="T87"/>
      <c r="U87"/>
      <c r="V87"/>
      <c r="W87"/>
      <c r="X87"/>
      <c r="Y87" s="85">
        <v>2009</v>
      </c>
      <c r="Z87" s="2">
        <f t="shared" ref="Z87:AD89" si="321">IF($Q87="B", (G87*$N87),0)</f>
        <v>4</v>
      </c>
      <c r="AA87" s="2">
        <f t="shared" si="321"/>
        <v>8</v>
      </c>
      <c r="AB87" s="2">
        <f t="shared" si="321"/>
        <v>0</v>
      </c>
      <c r="AC87" s="2">
        <f t="shared" si="321"/>
        <v>0</v>
      </c>
      <c r="AD87" s="2">
        <f t="shared" si="321"/>
        <v>0</v>
      </c>
      <c r="AE87" s="3">
        <f>IF($Q87="B", (F87*$N87),0)</f>
        <v>960</v>
      </c>
      <c r="AF87" s="39"/>
      <c r="AG87" s="37"/>
      <c r="AH87" s="37"/>
      <c r="AI87" s="31"/>
      <c r="AJ87" s="80">
        <f t="shared" ref="AJ87:AN89" si="322">IF($Q87="C", (G87*$N87),0)</f>
        <v>0</v>
      </c>
      <c r="AK87" s="10">
        <f t="shared" si="322"/>
        <v>0</v>
      </c>
      <c r="AL87" s="10">
        <f t="shared" si="322"/>
        <v>0</v>
      </c>
      <c r="AM87" s="10">
        <f t="shared" si="322"/>
        <v>0</v>
      </c>
      <c r="AN87" s="10">
        <f t="shared" si="322"/>
        <v>0</v>
      </c>
      <c r="AO87" s="2">
        <f>IF($Q87="C", (F87*$N87),0)</f>
        <v>0</v>
      </c>
      <c r="AP87" s="39"/>
    </row>
    <row r="88" spans="1:42" s="38" customFormat="1">
      <c r="A88" s="167" t="s">
        <v>149</v>
      </c>
      <c r="B88" s="40" t="s">
        <v>34</v>
      </c>
      <c r="C88">
        <v>0</v>
      </c>
      <c r="D88" s="40" t="s">
        <v>9</v>
      </c>
      <c r="E88" s="31">
        <v>0</v>
      </c>
      <c r="F88" s="128">
        <f t="shared" si="317"/>
        <v>0</v>
      </c>
      <c r="G88" s="139">
        <v>24</v>
      </c>
      <c r="H88" s="139">
        <v>4</v>
      </c>
      <c r="I88" s="139">
        <v>8</v>
      </c>
      <c r="J88" s="139">
        <v>24</v>
      </c>
      <c r="K88" s="140">
        <v>0</v>
      </c>
      <c r="L88" t="s">
        <v>8</v>
      </c>
      <c r="M88" s="31">
        <f t="shared" si="318"/>
        <v>0</v>
      </c>
      <c r="N88" s="242">
        <v>0</v>
      </c>
      <c r="O88" s="41">
        <f t="shared" si="319"/>
        <v>0</v>
      </c>
      <c r="P88" s="41"/>
      <c r="Q88" s="108" t="s">
        <v>49</v>
      </c>
      <c r="R88" s="179" t="s">
        <v>92</v>
      </c>
      <c r="S88" s="186" t="str">
        <f t="shared" si="320"/>
        <v>BPD2009</v>
      </c>
      <c r="T88"/>
      <c r="U88"/>
      <c r="V88"/>
      <c r="W88"/>
      <c r="X88"/>
      <c r="Y88" s="85">
        <v>2009</v>
      </c>
      <c r="Z88" s="2">
        <f t="shared" si="321"/>
        <v>0</v>
      </c>
      <c r="AA88" s="2">
        <f t="shared" si="321"/>
        <v>0</v>
      </c>
      <c r="AB88" s="2">
        <f t="shared" si="321"/>
        <v>0</v>
      </c>
      <c r="AC88" s="2">
        <f t="shared" si="321"/>
        <v>0</v>
      </c>
      <c r="AD88" s="2">
        <f t="shared" si="321"/>
        <v>0</v>
      </c>
      <c r="AE88" s="3">
        <f>IF($Q88="B", (F88*$N88),0)</f>
        <v>0</v>
      </c>
      <c r="AF88" s="39"/>
      <c r="AG88" s="37"/>
      <c r="AH88" s="37"/>
      <c r="AI88" s="31"/>
      <c r="AJ88" s="80">
        <f t="shared" si="322"/>
        <v>0</v>
      </c>
      <c r="AK88" s="10">
        <f t="shared" si="322"/>
        <v>0</v>
      </c>
      <c r="AL88" s="10">
        <f t="shared" si="322"/>
        <v>0</v>
      </c>
      <c r="AM88" s="10">
        <f t="shared" si="322"/>
        <v>0</v>
      </c>
      <c r="AN88" s="10">
        <f t="shared" si="322"/>
        <v>0</v>
      </c>
      <c r="AO88" s="2">
        <f>IF($Q88="C", (F88*$N88),0)</f>
        <v>0</v>
      </c>
      <c r="AP88" s="39"/>
    </row>
    <row r="89" spans="1:42" s="38" customFormat="1">
      <c r="A89" s="167" t="s">
        <v>153</v>
      </c>
      <c r="B89" s="40" t="s">
        <v>34</v>
      </c>
      <c r="C89">
        <v>0</v>
      </c>
      <c r="D89" s="40" t="s">
        <v>9</v>
      </c>
      <c r="E89" s="31">
        <v>0</v>
      </c>
      <c r="F89" s="128">
        <f t="shared" si="317"/>
        <v>0</v>
      </c>
      <c r="G89" s="139">
        <v>24</v>
      </c>
      <c r="H89" s="139">
        <v>4</v>
      </c>
      <c r="I89" s="139">
        <v>8</v>
      </c>
      <c r="J89" s="139">
        <v>24</v>
      </c>
      <c r="K89" s="140">
        <v>0</v>
      </c>
      <c r="L89" t="s">
        <v>8</v>
      </c>
      <c r="M89" s="31">
        <f t="shared" si="318"/>
        <v>0</v>
      </c>
      <c r="N89" s="242">
        <v>0</v>
      </c>
      <c r="O89" s="41">
        <f t="shared" si="319"/>
        <v>0</v>
      </c>
      <c r="P89" s="41"/>
      <c r="Q89" s="108" t="s">
        <v>50</v>
      </c>
      <c r="R89" s="179" t="s">
        <v>92</v>
      </c>
      <c r="S89" s="186" t="str">
        <f t="shared" si="320"/>
        <v>CPD2009</v>
      </c>
      <c r="T89"/>
      <c r="U89"/>
      <c r="V89"/>
      <c r="W89"/>
      <c r="X89"/>
      <c r="Y89" s="85">
        <v>2009</v>
      </c>
      <c r="Z89" s="2">
        <f t="shared" si="321"/>
        <v>0</v>
      </c>
      <c r="AA89" s="2">
        <f t="shared" si="321"/>
        <v>0</v>
      </c>
      <c r="AB89" s="2">
        <f t="shared" si="321"/>
        <v>0</v>
      </c>
      <c r="AC89" s="2">
        <f t="shared" si="321"/>
        <v>0</v>
      </c>
      <c r="AD89" s="2">
        <f t="shared" si="321"/>
        <v>0</v>
      </c>
      <c r="AE89" s="3">
        <f>IF($Q89="B", (F89*$N89),0)</f>
        <v>0</v>
      </c>
      <c r="AF89" s="39"/>
      <c r="AG89" s="37"/>
      <c r="AH89" s="37"/>
      <c r="AI89" s="31"/>
      <c r="AJ89" s="80">
        <f t="shared" si="322"/>
        <v>0</v>
      </c>
      <c r="AK89" s="10">
        <f t="shared" si="322"/>
        <v>0</v>
      </c>
      <c r="AL89" s="10">
        <f t="shared" si="322"/>
        <v>0</v>
      </c>
      <c r="AM89" s="10">
        <f t="shared" si="322"/>
        <v>0</v>
      </c>
      <c r="AN89" s="10">
        <f t="shared" si="322"/>
        <v>0</v>
      </c>
      <c r="AO89" s="2">
        <f>IF($Q89="C", (F89*$N89),0)</f>
        <v>0</v>
      </c>
      <c r="AP89" s="39"/>
    </row>
    <row r="90" spans="1:42" s="242" customFormat="1">
      <c r="A90" s="258" t="s">
        <v>310</v>
      </c>
      <c r="E90" s="259"/>
      <c r="F90" s="260"/>
      <c r="G90" s="261"/>
      <c r="H90" s="261"/>
      <c r="I90" s="261"/>
      <c r="J90" s="261"/>
      <c r="K90" s="262"/>
      <c r="L90" s="169" t="s">
        <v>79</v>
      </c>
      <c r="M90" s="170">
        <f>SUMIF(Q87:Q89,"B",M87:M89)</f>
        <v>1444</v>
      </c>
      <c r="N90" s="171" t="s">
        <v>79</v>
      </c>
      <c r="O90" s="248"/>
      <c r="P90" s="248"/>
      <c r="Q90" s="249"/>
      <c r="R90" s="250"/>
      <c r="S90" s="251"/>
      <c r="Y90" s="252"/>
      <c r="Z90" s="257"/>
      <c r="AA90" s="257"/>
      <c r="AB90" s="266"/>
      <c r="AC90" s="257"/>
      <c r="AD90" s="257"/>
      <c r="AE90" s="254"/>
      <c r="AF90" s="255"/>
      <c r="AG90" s="253"/>
      <c r="AH90" s="253"/>
      <c r="AI90" s="245"/>
      <c r="AJ90" s="256"/>
      <c r="AK90" s="257"/>
      <c r="AL90" s="257"/>
      <c r="AM90" s="257"/>
      <c r="AN90" s="257"/>
      <c r="AO90" s="253"/>
      <c r="AP90" s="255"/>
    </row>
    <row r="91" spans="1:42" s="242" customFormat="1">
      <c r="A91" s="244" t="s">
        <v>307</v>
      </c>
      <c r="B91" s="242" t="s">
        <v>124</v>
      </c>
      <c r="C91" s="242">
        <v>0.05</v>
      </c>
      <c r="D91" s="242" t="s">
        <v>41</v>
      </c>
      <c r="E91" s="245">
        <v>600</v>
      </c>
      <c r="F91" s="246">
        <f>E91*C91</f>
        <v>30</v>
      </c>
      <c r="G91" s="243">
        <v>2</v>
      </c>
      <c r="H91" s="243">
        <v>0</v>
      </c>
      <c r="I91" s="243">
        <v>0</v>
      </c>
      <c r="J91" s="243">
        <v>0</v>
      </c>
      <c r="K91" s="247">
        <v>0</v>
      </c>
      <c r="L91" s="242" t="s">
        <v>8</v>
      </c>
      <c r="M91" s="245">
        <f>((Shop*G91)+(M_Tech*H91)+(CMM*I91)+(ENG*J91)+(DES*K91))*N91</f>
        <v>6858</v>
      </c>
      <c r="N91" s="242">
        <v>27</v>
      </c>
      <c r="O91" s="248">
        <f>M91+(N91*F91)</f>
        <v>7668</v>
      </c>
      <c r="P91" s="248"/>
      <c r="Q91" s="249" t="s">
        <v>49</v>
      </c>
      <c r="R91" s="250" t="s">
        <v>92</v>
      </c>
      <c r="S91" s="251" t="str">
        <f t="shared" ref="S91:S92" si="323">CONCATENATE(Q91,R91,Y91)</f>
        <v>BPDHytec</v>
      </c>
      <c r="Y91" s="252" t="s">
        <v>57</v>
      </c>
      <c r="Z91" s="253">
        <f t="shared" ref="Z91:Z93" si="324">IF($Q91="B", (G91*$N91),0)</f>
        <v>54</v>
      </c>
      <c r="AA91" s="253">
        <f t="shared" ref="AA91:AA93" si="325">IF($Q91="B", (H91*$N91),0)</f>
        <v>0</v>
      </c>
      <c r="AB91" s="253">
        <f t="shared" ref="AB91:AB93" si="326">IF($Q91="B", (I91*$N91),0)</f>
        <v>0</v>
      </c>
      <c r="AC91" s="253">
        <f t="shared" ref="AC91:AC93" si="327">IF($Q91="B", (J91*$N91),0)</f>
        <v>0</v>
      </c>
      <c r="AD91" s="253">
        <f t="shared" ref="AD91:AD93" si="328">IF($Q91="B", (K91*$N91),0)</f>
        <v>0</v>
      </c>
      <c r="AE91" s="254">
        <f>IF($Q91="B", (F91*$N91),0)</f>
        <v>810</v>
      </c>
      <c r="AF91" s="255"/>
      <c r="AG91" s="253"/>
      <c r="AH91" s="253"/>
      <c r="AI91" s="245"/>
      <c r="AJ91" s="256">
        <f t="shared" ref="AJ91:AJ93" si="329">IF($Q91="C", (G91*$N91),0)</f>
        <v>0</v>
      </c>
      <c r="AK91" s="257">
        <f t="shared" ref="AK91:AK93" si="330">IF($Q91="C", (H91*$N91),0)</f>
        <v>0</v>
      </c>
      <c r="AL91" s="257">
        <f t="shared" ref="AL91:AL93" si="331">IF($Q91="C", (I91*$N91),0)</f>
        <v>0</v>
      </c>
      <c r="AM91" s="257">
        <f t="shared" ref="AM91:AM93" si="332">IF($Q91="C", (J91*$N91),0)</f>
        <v>0</v>
      </c>
      <c r="AN91" s="257">
        <f t="shared" ref="AN91:AN93" si="333">IF($Q91="C", (K91*$N91),0)</f>
        <v>0</v>
      </c>
      <c r="AO91" s="253">
        <f>IF($Q91="C", (F91*$N91),0)</f>
        <v>0</v>
      </c>
      <c r="AP91" s="255"/>
    </row>
    <row r="92" spans="1:42" s="242" customFormat="1">
      <c r="A92" s="244" t="s">
        <v>308</v>
      </c>
      <c r="B92" s="242" t="s">
        <v>34</v>
      </c>
      <c r="C92" s="242">
        <v>0</v>
      </c>
      <c r="D92" s="242" t="s">
        <v>9</v>
      </c>
      <c r="E92" s="245">
        <v>0</v>
      </c>
      <c r="F92" s="246">
        <f>E92*C92</f>
        <v>0</v>
      </c>
      <c r="G92" s="243">
        <v>0</v>
      </c>
      <c r="H92" s="243">
        <v>0</v>
      </c>
      <c r="I92" s="243">
        <v>0</v>
      </c>
      <c r="J92" s="243">
        <v>8</v>
      </c>
      <c r="K92" s="247">
        <v>0</v>
      </c>
      <c r="L92" s="242" t="s">
        <v>8</v>
      </c>
      <c r="M92" s="245">
        <f>((Shop*G92)+(M_Tech*H92)+(CMM*I92)+(ENG*J92)+(DES*K92))*N92</f>
        <v>1200</v>
      </c>
      <c r="N92" s="242">
        <v>1</v>
      </c>
      <c r="O92" s="248">
        <f>M92+(N92*F92)</f>
        <v>1200</v>
      </c>
      <c r="P92" s="248"/>
      <c r="Q92" s="249" t="s">
        <v>49</v>
      </c>
      <c r="R92" s="250" t="s">
        <v>92</v>
      </c>
      <c r="S92" s="251" t="str">
        <f t="shared" si="323"/>
        <v>BPD2009</v>
      </c>
      <c r="Y92" s="252">
        <v>2009</v>
      </c>
      <c r="Z92" s="253">
        <f t="shared" si="324"/>
        <v>0</v>
      </c>
      <c r="AA92" s="253">
        <f t="shared" si="325"/>
        <v>0</v>
      </c>
      <c r="AB92" s="253">
        <f t="shared" si="326"/>
        <v>0</v>
      </c>
      <c r="AC92" s="253">
        <f t="shared" si="327"/>
        <v>8</v>
      </c>
      <c r="AD92" s="253">
        <f t="shared" si="328"/>
        <v>0</v>
      </c>
      <c r="AE92" s="254">
        <f>IF($Q92="B", (F92*$N92),0)</f>
        <v>0</v>
      </c>
      <c r="AF92" s="255"/>
      <c r="AG92" s="253"/>
      <c r="AH92" s="253"/>
      <c r="AI92" s="245"/>
      <c r="AJ92" s="256">
        <f t="shared" si="329"/>
        <v>0</v>
      </c>
      <c r="AK92" s="257">
        <f t="shared" si="330"/>
        <v>0</v>
      </c>
      <c r="AL92" s="257">
        <f t="shared" si="331"/>
        <v>0</v>
      </c>
      <c r="AM92" s="257">
        <f t="shared" si="332"/>
        <v>0</v>
      </c>
      <c r="AN92" s="257">
        <f t="shared" si="333"/>
        <v>0</v>
      </c>
      <c r="AO92" s="253">
        <f>IF($Q92="C", (F92*$N92),0)</f>
        <v>0</v>
      </c>
      <c r="AP92" s="255"/>
    </row>
    <row r="93" spans="1:42" s="242" customFormat="1">
      <c r="A93" s="244" t="s">
        <v>309</v>
      </c>
      <c r="B93" s="242" t="s">
        <v>124</v>
      </c>
      <c r="C93" s="242">
        <v>0.03</v>
      </c>
      <c r="D93" s="242" t="s">
        <v>41</v>
      </c>
      <c r="E93" s="245">
        <v>600</v>
      </c>
      <c r="F93" s="246">
        <f>E93*C93</f>
        <v>18</v>
      </c>
      <c r="G93" s="243">
        <v>2</v>
      </c>
      <c r="H93" s="243">
        <v>0</v>
      </c>
      <c r="I93" s="243">
        <v>0</v>
      </c>
      <c r="J93" s="243">
        <v>0</v>
      </c>
      <c r="K93" s="247">
        <v>0</v>
      </c>
      <c r="L93" s="242" t="s">
        <v>8</v>
      </c>
      <c r="M93" s="245">
        <f>((Shop*G93)+(M_Tech*H93)+(CMM*I93)+(ENG*J93)+(DES*K93))*N93</f>
        <v>1524</v>
      </c>
      <c r="N93" s="242">
        <v>6</v>
      </c>
      <c r="O93" s="248">
        <f>M93+(N93*F93)</f>
        <v>1632</v>
      </c>
      <c r="P93" s="248"/>
      <c r="Q93" s="249" t="s">
        <v>50</v>
      </c>
      <c r="R93" s="250" t="s">
        <v>92</v>
      </c>
      <c r="S93" s="251" t="str">
        <f>CONCATENATE(Q93,R93,Y93)</f>
        <v>CPDHytec</v>
      </c>
      <c r="Y93" s="252" t="s">
        <v>57</v>
      </c>
      <c r="Z93" s="253">
        <f t="shared" si="324"/>
        <v>0</v>
      </c>
      <c r="AA93" s="253">
        <f t="shared" si="325"/>
        <v>0</v>
      </c>
      <c r="AB93" s="253">
        <f t="shared" si="326"/>
        <v>0</v>
      </c>
      <c r="AC93" s="253">
        <f t="shared" si="327"/>
        <v>0</v>
      </c>
      <c r="AD93" s="253">
        <f t="shared" si="328"/>
        <v>0</v>
      </c>
      <c r="AE93" s="254">
        <f>IF($Q93="B", (F93*$N93),0)</f>
        <v>0</v>
      </c>
      <c r="AF93" s="255"/>
      <c r="AG93" s="253"/>
      <c r="AH93" s="253"/>
      <c r="AI93" s="245"/>
      <c r="AJ93" s="256">
        <f t="shared" si="329"/>
        <v>12</v>
      </c>
      <c r="AK93" s="257">
        <f t="shared" si="330"/>
        <v>0</v>
      </c>
      <c r="AL93" s="257">
        <f t="shared" si="331"/>
        <v>0</v>
      </c>
      <c r="AM93" s="257">
        <f t="shared" si="332"/>
        <v>0</v>
      </c>
      <c r="AN93" s="257">
        <f t="shared" si="333"/>
        <v>0</v>
      </c>
      <c r="AO93" s="253">
        <f>IF($Q93="C", (F93*$N93),0)</f>
        <v>108</v>
      </c>
      <c r="AP93" s="255"/>
    </row>
    <row r="94" spans="1:42" s="106" customFormat="1">
      <c r="A94" s="103" t="s">
        <v>151</v>
      </c>
      <c r="E94" s="120"/>
      <c r="F94" s="129"/>
      <c r="G94" s="143"/>
      <c r="H94" s="143"/>
      <c r="I94" s="143"/>
      <c r="J94" s="143"/>
      <c r="K94" s="144"/>
      <c r="L94" s="263" t="s">
        <v>79</v>
      </c>
      <c r="M94" s="264">
        <f>SUMIF(Q91:Q93,"B",M91:M93)</f>
        <v>8058</v>
      </c>
      <c r="N94" s="265" t="s">
        <v>79</v>
      </c>
      <c r="O94" s="112"/>
      <c r="P94" s="112"/>
      <c r="Q94" s="108"/>
      <c r="R94" s="179"/>
      <c r="S94" s="186"/>
      <c r="T94"/>
      <c r="U94"/>
      <c r="V94"/>
      <c r="W94"/>
      <c r="X94"/>
      <c r="Y94" s="113"/>
      <c r="Z94" s="114"/>
      <c r="AA94" s="114"/>
      <c r="AB94" s="115"/>
      <c r="AC94" s="114"/>
      <c r="AD94" s="114"/>
      <c r="AE94" s="48"/>
      <c r="AF94" s="116"/>
      <c r="AG94" s="101"/>
      <c r="AH94" s="101"/>
      <c r="AI94" s="31"/>
      <c r="AJ94" s="117"/>
      <c r="AK94" s="114"/>
      <c r="AL94" s="114"/>
      <c r="AM94" s="114"/>
      <c r="AN94" s="114"/>
      <c r="AO94" s="101"/>
      <c r="AP94" s="116"/>
    </row>
    <row r="95" spans="1:42">
      <c r="A95" s="102" t="s">
        <v>157</v>
      </c>
      <c r="B95" s="40" t="s">
        <v>34</v>
      </c>
      <c r="C95">
        <v>0</v>
      </c>
      <c r="D95" s="40" t="s">
        <v>9</v>
      </c>
      <c r="E95" s="31">
        <v>0</v>
      </c>
      <c r="F95" s="128">
        <f t="shared" ref="F95" si="334">E95*C95</f>
        <v>0</v>
      </c>
      <c r="G95" s="139">
        <v>0</v>
      </c>
      <c r="H95" s="139">
        <v>8</v>
      </c>
      <c r="I95" s="139">
        <v>0</v>
      </c>
      <c r="J95" s="139">
        <v>8</v>
      </c>
      <c r="K95" s="140">
        <v>0</v>
      </c>
      <c r="L95" t="s">
        <v>8</v>
      </c>
      <c r="M95" s="31">
        <f t="shared" ref="M95" si="335">((Shop*G95)+(M_Tech*H95)+(CMM*I95)+(ENG*J95)+(DES*K95))*N95</f>
        <v>2136</v>
      </c>
      <c r="N95">
        <v>1</v>
      </c>
      <c r="O95" s="41">
        <f t="shared" ref="O95" si="336">M95+(N95*F95)</f>
        <v>2136</v>
      </c>
      <c r="P95" s="41"/>
      <c r="Q95" s="108" t="s">
        <v>49</v>
      </c>
      <c r="R95" s="179" t="s">
        <v>92</v>
      </c>
      <c r="S95" s="186" t="str">
        <f t="shared" ref="S95" si="337">CONCATENATE(Q95,R95,Y95)</f>
        <v>BPD2009</v>
      </c>
      <c r="T95"/>
      <c r="U95"/>
      <c r="V95"/>
      <c r="W95"/>
      <c r="X95"/>
      <c r="Y95" s="85">
        <v>2009</v>
      </c>
      <c r="Z95" s="2">
        <f t="shared" ref="Z95" si="338">IF($Q95="B", (G95*$N95),0)</f>
        <v>0</v>
      </c>
      <c r="AA95" s="2">
        <f t="shared" ref="AA95" si="339">IF($Q95="B", (H95*$N95),0)</f>
        <v>8</v>
      </c>
      <c r="AB95" s="2">
        <f t="shared" ref="AB95" si="340">IF($Q95="B", (I95*$N95),0)</f>
        <v>0</v>
      </c>
      <c r="AC95" s="2">
        <f t="shared" ref="AC95" si="341">IF($Q95="B", (J95*$N95),0)</f>
        <v>8</v>
      </c>
      <c r="AD95" s="2">
        <f t="shared" ref="AD95" si="342">IF($Q95="B", (K95*$N95),0)</f>
        <v>0</v>
      </c>
      <c r="AE95" s="3">
        <f t="shared" ref="AE95" si="343">IF($Q95="B", (F95*$N95),0)</f>
        <v>0</v>
      </c>
      <c r="AF95" s="73"/>
      <c r="AG95" s="2"/>
      <c r="AH95" s="2"/>
      <c r="AJ95" s="80">
        <f t="shared" ref="AJ95" si="344">IF($Q95="C", (G95*$N95),0)</f>
        <v>0</v>
      </c>
      <c r="AK95" s="10">
        <f t="shared" ref="AK95" si="345">IF($Q95="C", (H95*$N95),0)</f>
        <v>0</v>
      </c>
      <c r="AL95" s="10">
        <f t="shared" ref="AL95" si="346">IF($Q95="C", (I95*$N95),0)</f>
        <v>0</v>
      </c>
      <c r="AM95" s="10">
        <f t="shared" ref="AM95" si="347">IF($Q95="C", (J95*$N95),0)</f>
        <v>0</v>
      </c>
      <c r="AN95" s="10">
        <f t="shared" ref="AN95" si="348">IF($Q95="C", (K95*$N95),0)</f>
        <v>0</v>
      </c>
      <c r="AO95" s="2">
        <f t="shared" ref="AO95" si="349">IF($Q95="C", (F95*$N95),0)</f>
        <v>0</v>
      </c>
      <c r="AP95" s="73"/>
    </row>
    <row r="96" spans="1:42">
      <c r="A96" s="102" t="s">
        <v>311</v>
      </c>
      <c r="B96" s="40" t="s">
        <v>66</v>
      </c>
      <c r="C96">
        <v>6</v>
      </c>
      <c r="D96" s="40" t="s">
        <v>67</v>
      </c>
      <c r="E96" s="31">
        <v>55</v>
      </c>
      <c r="F96" s="128">
        <f t="shared" ref="F96:F100" si="350">E96*C96</f>
        <v>330</v>
      </c>
      <c r="G96" s="139">
        <v>0</v>
      </c>
      <c r="H96" s="243">
        <v>32</v>
      </c>
      <c r="I96" s="139">
        <v>0</v>
      </c>
      <c r="J96" s="139">
        <v>40</v>
      </c>
      <c r="K96" s="140">
        <v>0</v>
      </c>
      <c r="L96" t="s">
        <v>8</v>
      </c>
      <c r="M96" s="31">
        <f t="shared" ref="M96:M100" si="351">((Shop*G96)+(M_Tech*H96)+(CMM*I96)+(ENG*J96)+(DES*K96))*N96</f>
        <v>9744</v>
      </c>
      <c r="N96">
        <v>1</v>
      </c>
      <c r="O96" s="41">
        <f t="shared" ref="O96:O100" si="352">M96+(N96*F96)</f>
        <v>10074</v>
      </c>
      <c r="P96" s="41"/>
      <c r="Q96" s="108" t="s">
        <v>49</v>
      </c>
      <c r="R96" s="179" t="s">
        <v>92</v>
      </c>
      <c r="S96" s="186" t="str">
        <f t="shared" ref="S96:S100" si="353">CONCATENATE(Q96,R96,Y96)</f>
        <v>BPD2009</v>
      </c>
      <c r="T96"/>
      <c r="U96"/>
      <c r="V96"/>
      <c r="W96"/>
      <c r="X96"/>
      <c r="Y96" s="85">
        <v>2009</v>
      </c>
      <c r="Z96" s="2">
        <f t="shared" ref="Z96:Z100" si="354">IF($Q96="B", (G96*$N96),0)</f>
        <v>0</v>
      </c>
      <c r="AA96" s="2">
        <f t="shared" ref="AA96:AA100" si="355">IF($Q96="B", (H96*$N96),0)</f>
        <v>32</v>
      </c>
      <c r="AB96" s="2">
        <f t="shared" ref="AB96:AB100" si="356">IF($Q96="B", (I96*$N96),0)</f>
        <v>0</v>
      </c>
      <c r="AC96" s="2">
        <f t="shared" ref="AC96:AC100" si="357">IF($Q96="B", (J96*$N96),0)</f>
        <v>40</v>
      </c>
      <c r="AD96" s="2">
        <f t="shared" ref="AD96:AD100" si="358">IF($Q96="B", (K96*$N96),0)</f>
        <v>0</v>
      </c>
      <c r="AE96" s="3">
        <f t="shared" ref="AE96:AE100" si="359">IF($Q96="B", (F96*$N96),0)</f>
        <v>330</v>
      </c>
      <c r="AF96" s="73"/>
      <c r="AG96" s="2"/>
      <c r="AH96" s="2"/>
      <c r="AJ96" s="80">
        <f t="shared" ref="AJ96:AJ97" si="360">IF($Q96="C", (G96*$N96),0)</f>
        <v>0</v>
      </c>
      <c r="AK96" s="10">
        <f t="shared" ref="AK96:AK97" si="361">IF($Q96="C", (H96*$N96),0)</f>
        <v>0</v>
      </c>
      <c r="AL96" s="10">
        <f t="shared" ref="AL96:AL97" si="362">IF($Q96="C", (I96*$N96),0)</f>
        <v>0</v>
      </c>
      <c r="AM96" s="10">
        <f t="shared" ref="AM96:AM97" si="363">IF($Q96="C", (J96*$N96),0)</f>
        <v>0</v>
      </c>
      <c r="AN96" s="10">
        <f t="shared" ref="AN96:AN97" si="364">IF($Q96="C", (K96*$N96),0)</f>
        <v>0</v>
      </c>
      <c r="AO96" s="2">
        <f t="shared" ref="AO96:AO97" si="365">IF($Q96="C", (F96*$N96),0)</f>
        <v>0</v>
      </c>
      <c r="AP96" s="73"/>
    </row>
    <row r="97" spans="1:42">
      <c r="A97" s="102" t="s">
        <v>312</v>
      </c>
      <c r="B97" s="40" t="s">
        <v>66</v>
      </c>
      <c r="C97">
        <v>6</v>
      </c>
      <c r="D97" s="40" t="s">
        <v>67</v>
      </c>
      <c r="E97" s="31">
        <v>55</v>
      </c>
      <c r="F97" s="128">
        <f t="shared" ref="F97" si="366">E97*C97</f>
        <v>330</v>
      </c>
      <c r="G97" s="139">
        <v>0</v>
      </c>
      <c r="H97" s="243">
        <v>32</v>
      </c>
      <c r="I97" s="139">
        <v>0</v>
      </c>
      <c r="J97" s="139">
        <v>8</v>
      </c>
      <c r="K97" s="140">
        <v>0</v>
      </c>
      <c r="L97" t="s">
        <v>8</v>
      </c>
      <c r="M97" s="31">
        <f t="shared" ref="M97" si="367">((Shop*G97)+(M_Tech*H97)+(CMM*I97)+(ENG*J97)+(DES*K97))*N97</f>
        <v>9888</v>
      </c>
      <c r="N97">
        <v>2</v>
      </c>
      <c r="O97" s="41">
        <f>M97+(N97*F97)</f>
        <v>10548</v>
      </c>
      <c r="P97" s="41"/>
      <c r="Q97" s="108" t="s">
        <v>49</v>
      </c>
      <c r="R97" s="179" t="s">
        <v>92</v>
      </c>
      <c r="S97" s="186" t="str">
        <f t="shared" ref="S97" si="368">CONCATENATE(Q97,R97,Y97)</f>
        <v>BPD2009</v>
      </c>
      <c r="T97"/>
      <c r="U97"/>
      <c r="V97"/>
      <c r="W97"/>
      <c r="X97"/>
      <c r="Y97" s="85">
        <v>2009</v>
      </c>
      <c r="Z97" s="2">
        <f t="shared" ref="Z97" si="369">IF($Q97="B", (G97*$N97),0)</f>
        <v>0</v>
      </c>
      <c r="AA97" s="2">
        <f t="shared" ref="AA97" si="370">IF($Q97="B", (H97*$N97),0)</f>
        <v>64</v>
      </c>
      <c r="AB97" s="2">
        <f t="shared" ref="AB97" si="371">IF($Q97="B", (I97*$N97),0)</f>
        <v>0</v>
      </c>
      <c r="AC97" s="2">
        <f t="shared" ref="AC97" si="372">IF($Q97="B", (J97*$N97),0)</f>
        <v>16</v>
      </c>
      <c r="AD97" s="2">
        <f t="shared" ref="AD97" si="373">IF($Q97="B", (K97*$N97),0)</f>
        <v>0</v>
      </c>
      <c r="AE97" s="3">
        <f t="shared" ref="AE97" si="374">IF($Q97="B", (F97*$N97),0)</f>
        <v>660</v>
      </c>
      <c r="AF97" s="73"/>
      <c r="AG97" s="2"/>
      <c r="AH97" s="2"/>
      <c r="AJ97" s="80">
        <f t="shared" si="360"/>
        <v>0</v>
      </c>
      <c r="AK97" s="10">
        <f t="shared" si="361"/>
        <v>0</v>
      </c>
      <c r="AL97" s="10">
        <f t="shared" si="362"/>
        <v>0</v>
      </c>
      <c r="AM97" s="10">
        <f t="shared" si="363"/>
        <v>0</v>
      </c>
      <c r="AN97" s="10">
        <f t="shared" si="364"/>
        <v>0</v>
      </c>
      <c r="AO97" s="2">
        <f t="shared" si="365"/>
        <v>0</v>
      </c>
      <c r="AP97" s="73"/>
    </row>
    <row r="98" spans="1:42">
      <c r="A98" s="102" t="s">
        <v>313</v>
      </c>
      <c r="B98" s="40" t="s">
        <v>66</v>
      </c>
      <c r="C98">
        <v>12</v>
      </c>
      <c r="D98" s="40" t="s">
        <v>67</v>
      </c>
      <c r="E98" s="31">
        <v>55</v>
      </c>
      <c r="F98" s="128">
        <f t="shared" si="350"/>
        <v>660</v>
      </c>
      <c r="G98" s="139">
        <v>0</v>
      </c>
      <c r="H98" s="243">
        <v>32</v>
      </c>
      <c r="I98" s="139">
        <v>0</v>
      </c>
      <c r="J98" s="139">
        <v>8</v>
      </c>
      <c r="K98" s="140">
        <v>0</v>
      </c>
      <c r="L98" t="s">
        <v>8</v>
      </c>
      <c r="M98" s="31">
        <f t="shared" si="351"/>
        <v>4944</v>
      </c>
      <c r="N98">
        <v>1</v>
      </c>
      <c r="O98" s="41">
        <f>M98+(N98*F98)</f>
        <v>5604</v>
      </c>
      <c r="P98" s="41"/>
      <c r="Q98" s="108" t="s">
        <v>50</v>
      </c>
      <c r="R98" s="179" t="s">
        <v>92</v>
      </c>
      <c r="S98" s="186" t="str">
        <f t="shared" si="353"/>
        <v>CPD2009</v>
      </c>
      <c r="T98"/>
      <c r="U98"/>
      <c r="V98"/>
      <c r="W98"/>
      <c r="X98"/>
      <c r="Y98" s="85">
        <v>2009</v>
      </c>
      <c r="Z98" s="2">
        <f t="shared" si="354"/>
        <v>0</v>
      </c>
      <c r="AA98" s="2">
        <f t="shared" si="355"/>
        <v>0</v>
      </c>
      <c r="AB98" s="2">
        <f t="shared" si="356"/>
        <v>0</v>
      </c>
      <c r="AC98" s="2">
        <f t="shared" si="357"/>
        <v>0</v>
      </c>
      <c r="AD98" s="2">
        <f t="shared" si="358"/>
        <v>0</v>
      </c>
      <c r="AE98" s="3">
        <f t="shared" si="359"/>
        <v>0</v>
      </c>
      <c r="AF98" s="73"/>
      <c r="AG98" s="2"/>
      <c r="AH98" s="2"/>
      <c r="AJ98" s="80">
        <f t="shared" ref="AJ98:AJ99" si="375">IF($Q98="C", (G98*$N98),0)</f>
        <v>0</v>
      </c>
      <c r="AK98" s="10">
        <f t="shared" ref="AK98:AK99" si="376">IF($Q98="C", (H98*$N98),0)</f>
        <v>32</v>
      </c>
      <c r="AL98" s="10">
        <f t="shared" ref="AL98:AL99" si="377">IF($Q98="C", (I98*$N98),0)</f>
        <v>0</v>
      </c>
      <c r="AM98" s="10">
        <f t="shared" ref="AM98:AM99" si="378">IF($Q98="C", (J98*$N98),0)</f>
        <v>8</v>
      </c>
      <c r="AN98" s="10">
        <f t="shared" ref="AN98:AN99" si="379">IF($Q98="C", (K98*$N98),0)</f>
        <v>0</v>
      </c>
      <c r="AO98" s="2">
        <f t="shared" ref="AO98:AO99" si="380">IF($Q98="C", (F98*$N98),0)</f>
        <v>660</v>
      </c>
      <c r="AP98" s="73"/>
    </row>
    <row r="99" spans="1:42">
      <c r="A99" s="102" t="s">
        <v>314</v>
      </c>
      <c r="B99" s="40" t="s">
        <v>34</v>
      </c>
      <c r="C99">
        <v>0</v>
      </c>
      <c r="D99" s="40" t="s">
        <v>9</v>
      </c>
      <c r="E99" s="31">
        <v>0</v>
      </c>
      <c r="F99" s="128">
        <f t="shared" ref="F99" si="381">E99*C99</f>
        <v>0</v>
      </c>
      <c r="G99" s="139">
        <v>0</v>
      </c>
      <c r="H99" s="168">
        <v>8</v>
      </c>
      <c r="I99" s="139">
        <v>0</v>
      </c>
      <c r="J99" s="139">
        <v>4</v>
      </c>
      <c r="K99" s="140">
        <v>0</v>
      </c>
      <c r="L99" t="s">
        <v>8</v>
      </c>
      <c r="M99" s="31">
        <f t="shared" ref="M99" si="382">((Shop*G99)+(M_Tech*H99)+(CMM*I99)+(ENG*J99)+(DES*K99))*N99</f>
        <v>3072</v>
      </c>
      <c r="N99">
        <v>2</v>
      </c>
      <c r="O99" s="41">
        <f t="shared" ref="O99" si="383">M99+(N99*F99)</f>
        <v>3072</v>
      </c>
      <c r="P99" s="41"/>
      <c r="Q99" s="108" t="s">
        <v>49</v>
      </c>
      <c r="R99" s="179" t="s">
        <v>92</v>
      </c>
      <c r="S99" s="186" t="str">
        <f t="shared" ref="S99" si="384">CONCATENATE(Q99,R99,Y99)</f>
        <v>BPD2009</v>
      </c>
      <c r="T99"/>
      <c r="U99"/>
      <c r="V99"/>
      <c r="W99"/>
      <c r="X99"/>
      <c r="Y99" s="85">
        <v>2009</v>
      </c>
      <c r="Z99" s="2">
        <f t="shared" ref="Z99" si="385">IF($Q99="B", (G99*$N99),0)</f>
        <v>0</v>
      </c>
      <c r="AA99" s="2">
        <f t="shared" ref="AA99" si="386">IF($Q99="B", (H99*$N99),0)</f>
        <v>16</v>
      </c>
      <c r="AB99" s="2">
        <f t="shared" ref="AB99" si="387">IF($Q99="B", (I99*$N99),0)</f>
        <v>0</v>
      </c>
      <c r="AC99" s="2">
        <f t="shared" ref="AC99" si="388">IF($Q99="B", (J99*$N99),0)</f>
        <v>8</v>
      </c>
      <c r="AD99" s="2">
        <f t="shared" ref="AD99" si="389">IF($Q99="B", (K99*$N99),0)</f>
        <v>0</v>
      </c>
      <c r="AE99" s="3">
        <f t="shared" ref="AE99" si="390">IF($Q99="B", (F99*$N99),0)</f>
        <v>0</v>
      </c>
      <c r="AF99" s="73"/>
      <c r="AG99" s="2"/>
      <c r="AH99" s="2"/>
      <c r="AJ99" s="80">
        <f t="shared" si="375"/>
        <v>0</v>
      </c>
      <c r="AK99" s="10">
        <f t="shared" si="376"/>
        <v>0</v>
      </c>
      <c r="AL99" s="10">
        <f t="shared" si="377"/>
        <v>0</v>
      </c>
      <c r="AM99" s="10">
        <f t="shared" si="378"/>
        <v>0</v>
      </c>
      <c r="AN99" s="10">
        <f t="shared" si="379"/>
        <v>0</v>
      </c>
      <c r="AO99" s="2">
        <f t="shared" si="380"/>
        <v>0</v>
      </c>
      <c r="AP99" s="73"/>
    </row>
    <row r="100" spans="1:42">
      <c r="A100" s="102" t="s">
        <v>152</v>
      </c>
      <c r="B100" s="40" t="s">
        <v>34</v>
      </c>
      <c r="C100">
        <v>0</v>
      </c>
      <c r="D100" s="40" t="s">
        <v>9</v>
      </c>
      <c r="E100" s="31">
        <v>0</v>
      </c>
      <c r="F100" s="128">
        <f t="shared" si="350"/>
        <v>0</v>
      </c>
      <c r="G100" s="139">
        <v>0</v>
      </c>
      <c r="H100" s="168">
        <v>8</v>
      </c>
      <c r="I100" s="139">
        <v>0</v>
      </c>
      <c r="J100" s="139">
        <v>0</v>
      </c>
      <c r="K100" s="140">
        <v>0</v>
      </c>
      <c r="L100" t="s">
        <v>8</v>
      </c>
      <c r="M100" s="31">
        <f t="shared" si="351"/>
        <v>936</v>
      </c>
      <c r="N100">
        <v>1</v>
      </c>
      <c r="O100" s="41">
        <f t="shared" si="352"/>
        <v>936</v>
      </c>
      <c r="P100" s="41"/>
      <c r="Q100" s="108" t="s">
        <v>50</v>
      </c>
      <c r="R100" s="179" t="s">
        <v>92</v>
      </c>
      <c r="S100" s="186" t="str">
        <f t="shared" si="353"/>
        <v>CPD2009</v>
      </c>
      <c r="T100"/>
      <c r="U100"/>
      <c r="V100"/>
      <c r="W100"/>
      <c r="X100"/>
      <c r="Y100" s="85">
        <v>2009</v>
      </c>
      <c r="Z100" s="2">
        <f t="shared" si="354"/>
        <v>0</v>
      </c>
      <c r="AA100" s="2">
        <f t="shared" si="355"/>
        <v>0</v>
      </c>
      <c r="AB100" s="2">
        <f t="shared" si="356"/>
        <v>0</v>
      </c>
      <c r="AC100" s="2">
        <f t="shared" si="357"/>
        <v>0</v>
      </c>
      <c r="AD100" s="2">
        <f t="shared" si="358"/>
        <v>0</v>
      </c>
      <c r="AE100" s="3">
        <f t="shared" si="359"/>
        <v>0</v>
      </c>
      <c r="AF100" s="73"/>
      <c r="AG100" s="2"/>
      <c r="AH100" s="2"/>
      <c r="AJ100" s="80">
        <f t="shared" ref="AJ100" si="391">IF($Q100="C", (G100*$N100),0)</f>
        <v>0</v>
      </c>
      <c r="AK100" s="10">
        <f t="shared" ref="AK100" si="392">IF($Q100="C", (H100*$N100),0)</f>
        <v>8</v>
      </c>
      <c r="AL100" s="10">
        <f t="shared" ref="AL100" si="393">IF($Q100="C", (I100*$N100),0)</f>
        <v>0</v>
      </c>
      <c r="AM100" s="10">
        <f t="shared" ref="AM100" si="394">IF($Q100="C", (J100*$N100),0)</f>
        <v>0</v>
      </c>
      <c r="AN100" s="10">
        <f t="shared" ref="AN100" si="395">IF($Q100="C", (K100*$N100),0)</f>
        <v>0</v>
      </c>
      <c r="AO100" s="2">
        <f t="shared" ref="AO100" si="396">IF($Q100="C", (F100*$N100),0)</f>
        <v>0</v>
      </c>
      <c r="AP100" s="73"/>
    </row>
    <row r="101" spans="1:42" s="106" customFormat="1">
      <c r="A101" s="103" t="s">
        <v>196</v>
      </c>
      <c r="E101" s="120"/>
      <c r="F101" s="129"/>
      <c r="G101" s="143"/>
      <c r="H101" s="143"/>
      <c r="I101" s="143"/>
      <c r="J101" s="143"/>
      <c r="K101" s="144"/>
      <c r="L101" s="169" t="s">
        <v>79</v>
      </c>
      <c r="M101" s="170">
        <f>SUMIF(Q95:Q100,"B",M95:M100)</f>
        <v>24840</v>
      </c>
      <c r="N101" s="171" t="s">
        <v>79</v>
      </c>
      <c r="O101" s="112"/>
      <c r="P101" s="112"/>
      <c r="Q101" s="108"/>
      <c r="R101" s="179"/>
      <c r="S101" s="186"/>
      <c r="T101"/>
      <c r="U101"/>
      <c r="V101"/>
      <c r="W101"/>
      <c r="X101"/>
      <c r="Y101" s="113"/>
      <c r="Z101" s="114"/>
      <c r="AA101" s="114"/>
      <c r="AB101" s="115"/>
      <c r="AC101" s="114"/>
      <c r="AD101" s="114"/>
      <c r="AE101" s="48"/>
      <c r="AF101" s="116"/>
      <c r="AG101" s="101"/>
      <c r="AH101" s="101"/>
      <c r="AI101" s="31"/>
      <c r="AJ101" s="117"/>
      <c r="AK101" s="114"/>
      <c r="AL101" s="114"/>
      <c r="AM101" s="114"/>
      <c r="AN101" s="114"/>
      <c r="AO101" s="101"/>
      <c r="AP101" s="116"/>
    </row>
    <row r="102" spans="1:42">
      <c r="A102" s="102" t="s">
        <v>157</v>
      </c>
      <c r="B102" s="40" t="s">
        <v>34</v>
      </c>
      <c r="C102">
        <v>0</v>
      </c>
      <c r="D102" s="40" t="s">
        <v>9</v>
      </c>
      <c r="E102" s="31">
        <v>0</v>
      </c>
      <c r="F102" s="128">
        <f t="shared" ref="F102:F106" si="397">E102*C102</f>
        <v>0</v>
      </c>
      <c r="G102" s="139">
        <v>0</v>
      </c>
      <c r="H102" s="139">
        <v>4</v>
      </c>
      <c r="I102" s="139">
        <v>0</v>
      </c>
      <c r="J102" s="139">
        <v>4</v>
      </c>
      <c r="K102" s="140">
        <v>0</v>
      </c>
      <c r="L102" t="s">
        <v>8</v>
      </c>
      <c r="M102" s="31">
        <f t="shared" ref="M102:M106" si="398">((Shop*G102)+(M_Tech*H102)+(CMM*I102)+(ENG*J102)+(DES*K102))*N102</f>
        <v>1068</v>
      </c>
      <c r="N102">
        <v>1</v>
      </c>
      <c r="O102" s="41">
        <f t="shared" ref="O102" si="399">M102+(N102*F102)</f>
        <v>1068</v>
      </c>
      <c r="P102" s="41"/>
      <c r="Q102" s="108" t="s">
        <v>49</v>
      </c>
      <c r="R102" s="179" t="s">
        <v>92</v>
      </c>
      <c r="S102" s="186" t="str">
        <f t="shared" ref="S102:S106" si="400">CONCATENATE(Q102,R102,Y102)</f>
        <v>BPD2009</v>
      </c>
      <c r="T102"/>
      <c r="U102"/>
      <c r="V102"/>
      <c r="W102"/>
      <c r="X102"/>
      <c r="Y102" s="85">
        <v>2009</v>
      </c>
      <c r="Z102" s="2">
        <f t="shared" ref="Z102:Z106" si="401">IF($Q102="B", (G102*$N102),0)</f>
        <v>0</v>
      </c>
      <c r="AA102" s="2">
        <f t="shared" ref="AA102:AA106" si="402">IF($Q102="B", (H102*$N102),0)</f>
        <v>4</v>
      </c>
      <c r="AB102" s="2">
        <f t="shared" ref="AB102:AB106" si="403">IF($Q102="B", (I102*$N102),0)</f>
        <v>0</v>
      </c>
      <c r="AC102" s="2">
        <f t="shared" ref="AC102:AC106" si="404">IF($Q102="B", (J102*$N102),0)</f>
        <v>4</v>
      </c>
      <c r="AD102" s="2">
        <f t="shared" ref="AD102:AD106" si="405">IF($Q102="B", (K102*$N102),0)</f>
        <v>0</v>
      </c>
      <c r="AE102" s="3">
        <f t="shared" ref="AE102:AE106" si="406">IF($Q102="B", (F102*$N102),0)</f>
        <v>0</v>
      </c>
      <c r="AF102" s="73"/>
      <c r="AG102" s="2"/>
      <c r="AH102" s="2"/>
      <c r="AJ102" s="80">
        <f t="shared" ref="AJ102:AJ106" si="407">IF($Q102="C", (G102*$N102),0)</f>
        <v>0</v>
      </c>
      <c r="AK102" s="10">
        <f t="shared" ref="AK102:AK106" si="408">IF($Q102="C", (H102*$N102),0)</f>
        <v>0</v>
      </c>
      <c r="AL102" s="10">
        <f t="shared" ref="AL102:AL106" si="409">IF($Q102="C", (I102*$N102),0)</f>
        <v>0</v>
      </c>
      <c r="AM102" s="10">
        <f t="shared" ref="AM102:AM106" si="410">IF($Q102="C", (J102*$N102),0)</f>
        <v>0</v>
      </c>
      <c r="AN102" s="10">
        <f t="shared" ref="AN102:AN106" si="411">IF($Q102="C", (K102*$N102),0)</f>
        <v>0</v>
      </c>
      <c r="AO102" s="2">
        <f t="shared" ref="AO102:AO106" si="412">IF($Q102="C", (F102*$N102),0)</f>
        <v>0</v>
      </c>
      <c r="AP102" s="73"/>
    </row>
    <row r="103" spans="1:42">
      <c r="A103" s="102" t="s">
        <v>158</v>
      </c>
      <c r="B103" s="40" t="s">
        <v>66</v>
      </c>
      <c r="C103">
        <v>1</v>
      </c>
      <c r="D103" s="40" t="s">
        <v>67</v>
      </c>
      <c r="E103" s="31">
        <v>55</v>
      </c>
      <c r="F103" s="128">
        <f t="shared" si="397"/>
        <v>55</v>
      </c>
      <c r="G103" s="139">
        <v>0</v>
      </c>
      <c r="H103" s="139">
        <v>8</v>
      </c>
      <c r="I103" s="139">
        <v>0</v>
      </c>
      <c r="J103" s="139">
        <v>0</v>
      </c>
      <c r="K103" s="140">
        <v>0</v>
      </c>
      <c r="L103" t="s">
        <v>8</v>
      </c>
      <c r="M103" s="31">
        <f t="shared" si="398"/>
        <v>1872</v>
      </c>
      <c r="N103">
        <v>2</v>
      </c>
      <c r="O103" s="41">
        <f>M103+(N103*F103)</f>
        <v>1982</v>
      </c>
      <c r="P103" s="41"/>
      <c r="Q103" s="108" t="s">
        <v>49</v>
      </c>
      <c r="R103" s="179" t="s">
        <v>92</v>
      </c>
      <c r="S103" s="186" t="str">
        <f t="shared" si="400"/>
        <v>BPD2009</v>
      </c>
      <c r="T103"/>
      <c r="U103"/>
      <c r="V103"/>
      <c r="W103"/>
      <c r="X103"/>
      <c r="Y103" s="85">
        <v>2009</v>
      </c>
      <c r="Z103" s="2">
        <f t="shared" si="401"/>
        <v>0</v>
      </c>
      <c r="AA103" s="2">
        <f t="shared" si="402"/>
        <v>16</v>
      </c>
      <c r="AB103" s="2">
        <f t="shared" si="403"/>
        <v>0</v>
      </c>
      <c r="AC103" s="2">
        <f t="shared" si="404"/>
        <v>0</v>
      </c>
      <c r="AD103" s="2">
        <f t="shared" si="405"/>
        <v>0</v>
      </c>
      <c r="AE103" s="3">
        <f t="shared" si="406"/>
        <v>110</v>
      </c>
      <c r="AF103" s="73"/>
      <c r="AG103" s="2"/>
      <c r="AH103" s="2"/>
      <c r="AJ103" s="80">
        <f t="shared" si="407"/>
        <v>0</v>
      </c>
      <c r="AK103" s="10">
        <f t="shared" si="408"/>
        <v>0</v>
      </c>
      <c r="AL103" s="10">
        <f t="shared" si="409"/>
        <v>0</v>
      </c>
      <c r="AM103" s="10">
        <f t="shared" si="410"/>
        <v>0</v>
      </c>
      <c r="AN103" s="10">
        <f t="shared" si="411"/>
        <v>0</v>
      </c>
      <c r="AO103" s="2">
        <f t="shared" si="412"/>
        <v>0</v>
      </c>
      <c r="AP103" s="73"/>
    </row>
    <row r="104" spans="1:42">
      <c r="A104" s="102" t="s">
        <v>159</v>
      </c>
      <c r="B104" s="40" t="s">
        <v>66</v>
      </c>
      <c r="C104">
        <v>1</v>
      </c>
      <c r="D104" s="40" t="s">
        <v>67</v>
      </c>
      <c r="E104" s="31">
        <v>55</v>
      </c>
      <c r="F104" s="128">
        <f t="shared" si="397"/>
        <v>55</v>
      </c>
      <c r="G104" s="139">
        <v>0</v>
      </c>
      <c r="H104" s="139">
        <v>8</v>
      </c>
      <c r="I104" s="139">
        <v>0</v>
      </c>
      <c r="J104" s="139">
        <v>0</v>
      </c>
      <c r="K104" s="140">
        <v>0</v>
      </c>
      <c r="L104" t="s">
        <v>8</v>
      </c>
      <c r="M104" s="31">
        <f t="shared" si="398"/>
        <v>936</v>
      </c>
      <c r="N104">
        <v>1</v>
      </c>
      <c r="O104" s="41">
        <f>M104+(N104*F104)</f>
        <v>991</v>
      </c>
      <c r="P104" s="41"/>
      <c r="Q104" s="108" t="s">
        <v>50</v>
      </c>
      <c r="R104" s="179" t="s">
        <v>92</v>
      </c>
      <c r="S104" s="186" t="str">
        <f t="shared" si="400"/>
        <v>CPD2009</v>
      </c>
      <c r="T104"/>
      <c r="U104"/>
      <c r="V104"/>
      <c r="W104"/>
      <c r="X104"/>
      <c r="Y104" s="85">
        <v>2009</v>
      </c>
      <c r="Z104" s="2">
        <f t="shared" si="401"/>
        <v>0</v>
      </c>
      <c r="AA104" s="2">
        <f t="shared" si="402"/>
        <v>0</v>
      </c>
      <c r="AB104" s="2">
        <f t="shared" si="403"/>
        <v>0</v>
      </c>
      <c r="AC104" s="2">
        <f t="shared" si="404"/>
        <v>0</v>
      </c>
      <c r="AD104" s="2">
        <f t="shared" si="405"/>
        <v>0</v>
      </c>
      <c r="AE104" s="3">
        <f t="shared" si="406"/>
        <v>0</v>
      </c>
      <c r="AF104" s="73"/>
      <c r="AG104" s="2"/>
      <c r="AH104" s="2"/>
      <c r="AJ104" s="80">
        <f t="shared" si="407"/>
        <v>0</v>
      </c>
      <c r="AK104" s="10">
        <f t="shared" si="408"/>
        <v>8</v>
      </c>
      <c r="AL104" s="10">
        <f t="shared" si="409"/>
        <v>0</v>
      </c>
      <c r="AM104" s="10">
        <f t="shared" si="410"/>
        <v>0</v>
      </c>
      <c r="AN104" s="10">
        <f t="shared" si="411"/>
        <v>0</v>
      </c>
      <c r="AO104" s="2">
        <f t="shared" si="412"/>
        <v>55</v>
      </c>
      <c r="AP104" s="73"/>
    </row>
    <row r="105" spans="1:42">
      <c r="A105" s="102" t="s">
        <v>197</v>
      </c>
      <c r="B105" s="40" t="s">
        <v>34</v>
      </c>
      <c r="C105">
        <v>0</v>
      </c>
      <c r="D105" s="40" t="s">
        <v>9</v>
      </c>
      <c r="E105" s="31">
        <v>0</v>
      </c>
      <c r="F105" s="128">
        <f t="shared" si="397"/>
        <v>0</v>
      </c>
      <c r="G105" s="243">
        <v>12</v>
      </c>
      <c r="H105" s="139">
        <v>0</v>
      </c>
      <c r="I105" s="139">
        <v>0</v>
      </c>
      <c r="J105" s="139">
        <v>2</v>
      </c>
      <c r="K105" s="140">
        <v>0</v>
      </c>
      <c r="L105" t="s">
        <v>8</v>
      </c>
      <c r="M105" s="31">
        <f t="shared" si="398"/>
        <v>7296</v>
      </c>
      <c r="N105">
        <v>4</v>
      </c>
      <c r="O105" s="41">
        <f t="shared" ref="O105:O106" si="413">M105+(N105*F105)</f>
        <v>7296</v>
      </c>
      <c r="P105" s="41"/>
      <c r="Q105" s="108" t="s">
        <v>49</v>
      </c>
      <c r="R105" s="179" t="s">
        <v>92</v>
      </c>
      <c r="S105" s="186" t="str">
        <f t="shared" si="400"/>
        <v>BPD2009</v>
      </c>
      <c r="T105"/>
      <c r="U105"/>
      <c r="V105"/>
      <c r="W105"/>
      <c r="X105"/>
      <c r="Y105" s="85">
        <v>2009</v>
      </c>
      <c r="Z105" s="2">
        <f t="shared" si="401"/>
        <v>48</v>
      </c>
      <c r="AA105" s="2">
        <f t="shared" si="402"/>
        <v>0</v>
      </c>
      <c r="AB105" s="2">
        <f t="shared" si="403"/>
        <v>0</v>
      </c>
      <c r="AC105" s="2">
        <f t="shared" si="404"/>
        <v>8</v>
      </c>
      <c r="AD105" s="2">
        <f t="shared" si="405"/>
        <v>0</v>
      </c>
      <c r="AE105" s="3">
        <f t="shared" si="406"/>
        <v>0</v>
      </c>
      <c r="AF105" s="73"/>
      <c r="AG105" s="2"/>
      <c r="AH105" s="2"/>
      <c r="AJ105" s="80">
        <f t="shared" si="407"/>
        <v>0</v>
      </c>
      <c r="AK105" s="10">
        <f t="shared" si="408"/>
        <v>0</v>
      </c>
      <c r="AL105" s="10">
        <f t="shared" si="409"/>
        <v>0</v>
      </c>
      <c r="AM105" s="10">
        <f t="shared" si="410"/>
        <v>0</v>
      </c>
      <c r="AN105" s="10">
        <f t="shared" si="411"/>
        <v>0</v>
      </c>
      <c r="AO105" s="2">
        <f t="shared" si="412"/>
        <v>0</v>
      </c>
      <c r="AP105" s="73"/>
    </row>
    <row r="106" spans="1:42">
      <c r="A106" s="102" t="s">
        <v>198</v>
      </c>
      <c r="B106" s="40" t="s">
        <v>34</v>
      </c>
      <c r="C106">
        <v>0</v>
      </c>
      <c r="D106" s="40" t="s">
        <v>9</v>
      </c>
      <c r="E106" s="31">
        <v>0</v>
      </c>
      <c r="F106" s="128">
        <f t="shared" si="397"/>
        <v>0</v>
      </c>
      <c r="G106" s="168">
        <v>16</v>
      </c>
      <c r="H106" s="139">
        <v>0</v>
      </c>
      <c r="I106" s="139">
        <v>0</v>
      </c>
      <c r="J106" s="243">
        <v>2</v>
      </c>
      <c r="K106" s="140">
        <v>0</v>
      </c>
      <c r="L106" t="s">
        <v>8</v>
      </c>
      <c r="M106" s="31">
        <f t="shared" si="398"/>
        <v>2332</v>
      </c>
      <c r="N106">
        <v>1</v>
      </c>
      <c r="O106" s="41">
        <f t="shared" si="413"/>
        <v>2332</v>
      </c>
      <c r="P106" s="41"/>
      <c r="Q106" s="108" t="s">
        <v>50</v>
      </c>
      <c r="R106" s="179" t="s">
        <v>92</v>
      </c>
      <c r="S106" s="186" t="str">
        <f t="shared" si="400"/>
        <v>CPD2009</v>
      </c>
      <c r="T106"/>
      <c r="U106"/>
      <c r="V106"/>
      <c r="W106"/>
      <c r="X106"/>
      <c r="Y106" s="85">
        <v>2009</v>
      </c>
      <c r="Z106" s="2">
        <f t="shared" si="401"/>
        <v>0</v>
      </c>
      <c r="AA106" s="2">
        <f t="shared" si="402"/>
        <v>0</v>
      </c>
      <c r="AB106" s="2">
        <f t="shared" si="403"/>
        <v>0</v>
      </c>
      <c r="AC106" s="2">
        <f t="shared" si="404"/>
        <v>0</v>
      </c>
      <c r="AD106" s="2">
        <f t="shared" si="405"/>
        <v>0</v>
      </c>
      <c r="AE106" s="3">
        <f t="shared" si="406"/>
        <v>0</v>
      </c>
      <c r="AF106" s="73"/>
      <c r="AG106" s="2"/>
      <c r="AH106" s="2"/>
      <c r="AJ106" s="80">
        <f t="shared" si="407"/>
        <v>16</v>
      </c>
      <c r="AK106" s="10">
        <f t="shared" si="408"/>
        <v>0</v>
      </c>
      <c r="AL106" s="10">
        <f t="shared" si="409"/>
        <v>0</v>
      </c>
      <c r="AM106" s="10">
        <f t="shared" si="410"/>
        <v>2</v>
      </c>
      <c r="AN106" s="10">
        <f t="shared" si="411"/>
        <v>0</v>
      </c>
      <c r="AO106" s="2">
        <f t="shared" si="412"/>
        <v>0</v>
      </c>
      <c r="AP106" s="73"/>
    </row>
    <row r="107" spans="1:42" s="106" customFormat="1">
      <c r="A107" s="103" t="s">
        <v>303</v>
      </c>
      <c r="E107" s="120"/>
      <c r="F107" s="129"/>
      <c r="G107" s="143"/>
      <c r="H107" s="143"/>
      <c r="I107" s="143"/>
      <c r="J107" s="143"/>
      <c r="K107" s="144"/>
      <c r="L107" s="169" t="s">
        <v>79</v>
      </c>
      <c r="M107" s="170">
        <f>SUMIF(Q102:Q106,"B",M102:M106)</f>
        <v>10236</v>
      </c>
      <c r="N107" s="171" t="s">
        <v>79</v>
      </c>
      <c r="O107" s="112"/>
      <c r="P107" s="112"/>
      <c r="Q107" s="108"/>
      <c r="R107" s="179"/>
      <c r="S107" s="186"/>
      <c r="T107"/>
      <c r="U107"/>
      <c r="V107"/>
      <c r="W107"/>
      <c r="X107"/>
      <c r="Y107" s="113"/>
      <c r="Z107" s="114"/>
      <c r="AA107" s="114"/>
      <c r="AB107" s="115"/>
      <c r="AC107" s="114"/>
      <c r="AD107" s="114"/>
      <c r="AE107" s="48"/>
      <c r="AF107" s="116"/>
      <c r="AG107" s="101"/>
      <c r="AH107" s="101"/>
      <c r="AI107" s="31"/>
      <c r="AJ107" s="117"/>
      <c r="AK107" s="114"/>
      <c r="AL107" s="114"/>
      <c r="AM107" s="114"/>
      <c r="AN107" s="114"/>
      <c r="AO107" s="101"/>
      <c r="AP107" s="116"/>
    </row>
    <row r="108" spans="1:42">
      <c r="A108" s="102" t="s">
        <v>157</v>
      </c>
      <c r="B108" s="40" t="s">
        <v>34</v>
      </c>
      <c r="C108">
        <v>0</v>
      </c>
      <c r="D108" s="40" t="s">
        <v>9</v>
      </c>
      <c r="E108" s="31">
        <v>0</v>
      </c>
      <c r="F108" s="128">
        <f t="shared" ref="F108" si="414">E108*C108</f>
        <v>0</v>
      </c>
      <c r="G108" s="139">
        <v>0</v>
      </c>
      <c r="H108" s="139">
        <v>4</v>
      </c>
      <c r="I108" s="139">
        <v>0</v>
      </c>
      <c r="J108" s="139">
        <v>8</v>
      </c>
      <c r="K108" s="140">
        <v>0</v>
      </c>
      <c r="L108" t="s">
        <v>8</v>
      </c>
      <c r="M108" s="31">
        <f t="shared" ref="M108" si="415">((Shop*G108)+(M_Tech*H108)+(CMM*I108)+(ENG*J108)+(DES*K108))*N108</f>
        <v>1668</v>
      </c>
      <c r="N108">
        <v>1</v>
      </c>
      <c r="O108" s="41">
        <f t="shared" ref="O108" si="416">M108+(N108*F108)</f>
        <v>1668</v>
      </c>
      <c r="P108" s="41"/>
      <c r="Q108" s="108" t="s">
        <v>49</v>
      </c>
      <c r="R108" s="179" t="s">
        <v>92</v>
      </c>
      <c r="S108" s="186" t="str">
        <f t="shared" ref="S108" si="417">CONCATENATE(Q108,R108,Y108)</f>
        <v>BPD2009</v>
      </c>
      <c r="T108"/>
      <c r="U108"/>
      <c r="V108"/>
      <c r="W108"/>
      <c r="X108"/>
      <c r="Y108" s="85">
        <v>2009</v>
      </c>
      <c r="Z108" s="2">
        <f t="shared" ref="Z108" si="418">IF($Q108="B", (G108*$N108),0)</f>
        <v>0</v>
      </c>
      <c r="AA108" s="2">
        <f t="shared" ref="AA108" si="419">IF($Q108="B", (H108*$N108),0)</f>
        <v>4</v>
      </c>
      <c r="AB108" s="2">
        <f t="shared" ref="AB108" si="420">IF($Q108="B", (I108*$N108),0)</f>
        <v>0</v>
      </c>
      <c r="AC108" s="2">
        <f t="shared" ref="AC108" si="421">IF($Q108="B", (J108*$N108),0)</f>
        <v>8</v>
      </c>
      <c r="AD108" s="2">
        <f t="shared" ref="AD108" si="422">IF($Q108="B", (K108*$N108),0)</f>
        <v>0</v>
      </c>
      <c r="AE108" s="3">
        <f t="shared" ref="AE108" si="423">IF($Q108="B", (F108*$N108),0)</f>
        <v>0</v>
      </c>
      <c r="AF108" s="73"/>
      <c r="AG108" s="2"/>
      <c r="AH108" s="2"/>
      <c r="AJ108" s="80">
        <f t="shared" ref="AJ108" si="424">IF($Q108="C", (G108*$N108),0)</f>
        <v>0</v>
      </c>
      <c r="AK108" s="10">
        <f t="shared" ref="AK108" si="425">IF($Q108="C", (H108*$N108),0)</f>
        <v>0</v>
      </c>
      <c r="AL108" s="10">
        <f t="shared" ref="AL108" si="426">IF($Q108="C", (I108*$N108),0)</f>
        <v>0</v>
      </c>
      <c r="AM108" s="10">
        <f t="shared" ref="AM108" si="427">IF($Q108="C", (J108*$N108),0)</f>
        <v>0</v>
      </c>
      <c r="AN108" s="10">
        <f t="shared" ref="AN108" si="428">IF($Q108="C", (K108*$N108),0)</f>
        <v>0</v>
      </c>
      <c r="AO108" s="2">
        <f t="shared" ref="AO108" si="429">IF($Q108="C", (F108*$N108),0)</f>
        <v>0</v>
      </c>
      <c r="AP108" s="73"/>
    </row>
    <row r="109" spans="1:42">
      <c r="A109" s="102" t="s">
        <v>304</v>
      </c>
      <c r="B109" s="40" t="s">
        <v>66</v>
      </c>
      <c r="C109">
        <v>1</v>
      </c>
      <c r="D109" s="40" t="s">
        <v>67</v>
      </c>
      <c r="E109" s="31">
        <v>55</v>
      </c>
      <c r="F109" s="128">
        <f t="shared" ref="F109:F112" si="430">E109*C109</f>
        <v>55</v>
      </c>
      <c r="G109" s="139">
        <v>0</v>
      </c>
      <c r="H109" s="168">
        <v>8</v>
      </c>
      <c r="I109" s="139">
        <v>0</v>
      </c>
      <c r="J109" s="139">
        <v>8</v>
      </c>
      <c r="K109" s="140">
        <v>0</v>
      </c>
      <c r="L109" t="s">
        <v>8</v>
      </c>
      <c r="M109" s="31">
        <f t="shared" ref="M109:M112" si="431">((Shop*G109)+(M_Tech*H109)+(CMM*I109)+(ENG*J109)+(DES*K109))*N109</f>
        <v>2136</v>
      </c>
      <c r="N109" s="242">
        <v>1</v>
      </c>
      <c r="O109" s="41">
        <f t="shared" ref="O109" si="432">M109+(N109*F109)</f>
        <v>2191</v>
      </c>
      <c r="P109" s="41"/>
      <c r="Q109" s="108" t="s">
        <v>49</v>
      </c>
      <c r="R109" s="179" t="s">
        <v>92</v>
      </c>
      <c r="S109" s="186" t="str">
        <f t="shared" ref="S109:S112" si="433">CONCATENATE(Q109,R109,Y109)</f>
        <v>BPD2009</v>
      </c>
      <c r="T109"/>
      <c r="U109"/>
      <c r="V109"/>
      <c r="W109"/>
      <c r="X109"/>
      <c r="Y109" s="85">
        <v>2009</v>
      </c>
      <c r="Z109" s="2">
        <f t="shared" ref="Z109:Z112" si="434">IF($Q109="B", (G109*$N109),0)</f>
        <v>0</v>
      </c>
      <c r="AA109" s="2">
        <f t="shared" ref="AA109:AA112" si="435">IF($Q109="B", (H109*$N109),0)</f>
        <v>8</v>
      </c>
      <c r="AB109" s="2">
        <f t="shared" ref="AB109:AB112" si="436">IF($Q109="B", (I109*$N109),0)</f>
        <v>0</v>
      </c>
      <c r="AC109" s="2">
        <f t="shared" ref="AC109:AC112" si="437">IF($Q109="B", (J109*$N109),0)</f>
        <v>8</v>
      </c>
      <c r="AD109" s="2">
        <f t="shared" ref="AD109:AD112" si="438">IF($Q109="B", (K109*$N109),0)</f>
        <v>0</v>
      </c>
      <c r="AE109" s="3">
        <f t="shared" ref="AE109:AE112" si="439">IF($Q109="B", (F109*$N109),0)</f>
        <v>55</v>
      </c>
      <c r="AF109" s="73"/>
      <c r="AG109" s="2"/>
      <c r="AH109" s="2"/>
      <c r="AJ109" s="80">
        <f t="shared" ref="AJ109:AJ112" si="440">IF($Q109="C", (G109*$N109),0)</f>
        <v>0</v>
      </c>
      <c r="AK109" s="10">
        <f t="shared" ref="AK109:AK112" si="441">IF($Q109="C", (H109*$N109),0)</f>
        <v>0</v>
      </c>
      <c r="AL109" s="10">
        <f t="shared" ref="AL109:AL112" si="442">IF($Q109="C", (I109*$N109),0)</f>
        <v>0</v>
      </c>
      <c r="AM109" s="10">
        <f t="shared" ref="AM109:AM112" si="443">IF($Q109="C", (J109*$N109),0)</f>
        <v>0</v>
      </c>
      <c r="AN109" s="10">
        <f t="shared" ref="AN109:AN112" si="444">IF($Q109="C", (K109*$N109),0)</f>
        <v>0</v>
      </c>
      <c r="AO109" s="2">
        <f t="shared" ref="AO109:AO112" si="445">IF($Q109="C", (F109*$N109),0)</f>
        <v>0</v>
      </c>
      <c r="AP109" s="73"/>
    </row>
    <row r="110" spans="1:42">
      <c r="A110" s="102" t="s">
        <v>160</v>
      </c>
      <c r="B110" s="40" t="s">
        <v>66</v>
      </c>
      <c r="C110">
        <v>1</v>
      </c>
      <c r="D110" s="40" t="s">
        <v>67</v>
      </c>
      <c r="E110" s="31">
        <v>55</v>
      </c>
      <c r="F110" s="128">
        <f t="shared" ref="F110" si="446">E110*C110</f>
        <v>55</v>
      </c>
      <c r="G110" s="139">
        <v>0</v>
      </c>
      <c r="H110" s="139">
        <v>8</v>
      </c>
      <c r="I110" s="139">
        <v>8</v>
      </c>
      <c r="J110" s="139">
        <v>8</v>
      </c>
      <c r="K110" s="140">
        <v>0</v>
      </c>
      <c r="L110" t="s">
        <v>8</v>
      </c>
      <c r="M110" s="31">
        <f t="shared" ref="M110" si="447">((Shop*G110)+(M_Tech*H110)+(CMM*I110)+(ENG*J110)+(DES*K110))*N110</f>
        <v>0</v>
      </c>
      <c r="N110" s="242">
        <v>0</v>
      </c>
      <c r="O110" s="41">
        <f t="shared" ref="O110" si="448">M110+(N110*F110)</f>
        <v>0</v>
      </c>
      <c r="P110" s="41"/>
      <c r="Q110" s="108" t="s">
        <v>50</v>
      </c>
      <c r="R110" s="179" t="s">
        <v>92</v>
      </c>
      <c r="S110" s="186" t="str">
        <f t="shared" ref="S110" si="449">CONCATENATE(Q110,R110,Y110)</f>
        <v>CPD2009</v>
      </c>
      <c r="T110"/>
      <c r="U110"/>
      <c r="V110"/>
      <c r="W110"/>
      <c r="X110"/>
      <c r="Y110" s="85">
        <v>2009</v>
      </c>
      <c r="Z110" s="2">
        <f t="shared" ref="Z110" si="450">IF($Q110="B", (G110*$N110),0)</f>
        <v>0</v>
      </c>
      <c r="AA110" s="2">
        <f t="shared" ref="AA110" si="451">IF($Q110="B", (H110*$N110),0)</f>
        <v>0</v>
      </c>
      <c r="AB110" s="2">
        <f t="shared" ref="AB110" si="452">IF($Q110="B", (I110*$N110),0)</f>
        <v>0</v>
      </c>
      <c r="AC110" s="2">
        <f t="shared" ref="AC110" si="453">IF($Q110="B", (J110*$N110),0)</f>
        <v>0</v>
      </c>
      <c r="AD110" s="2">
        <f t="shared" ref="AD110" si="454">IF($Q110="B", (K110*$N110),0)</f>
        <v>0</v>
      </c>
      <c r="AE110" s="3">
        <f t="shared" ref="AE110" si="455">IF($Q110="B", (F110*$N110),0)</f>
        <v>0</v>
      </c>
      <c r="AF110" s="73"/>
      <c r="AG110" s="2"/>
      <c r="AH110" s="2"/>
      <c r="AJ110" s="80">
        <f t="shared" ref="AJ110" si="456">IF($Q110="C", (G110*$N110),0)</f>
        <v>0</v>
      </c>
      <c r="AK110" s="10">
        <f t="shared" ref="AK110" si="457">IF($Q110="C", (H110*$N110),0)</f>
        <v>0</v>
      </c>
      <c r="AL110" s="10">
        <f t="shared" ref="AL110" si="458">IF($Q110="C", (I110*$N110),0)</f>
        <v>0</v>
      </c>
      <c r="AM110" s="10">
        <f t="shared" ref="AM110" si="459">IF($Q110="C", (J110*$N110),0)</f>
        <v>0</v>
      </c>
      <c r="AN110" s="10">
        <f t="shared" ref="AN110" si="460">IF($Q110="C", (K110*$N110),0)</f>
        <v>0</v>
      </c>
      <c r="AO110" s="2">
        <f t="shared" ref="AO110" si="461">IF($Q110="C", (F110*$N110),0)</f>
        <v>0</v>
      </c>
      <c r="AP110" s="73"/>
    </row>
    <row r="111" spans="1:42">
      <c r="A111" s="102" t="s">
        <v>305</v>
      </c>
      <c r="B111" s="40" t="s">
        <v>66</v>
      </c>
      <c r="C111">
        <v>1</v>
      </c>
      <c r="D111" s="40" t="s">
        <v>67</v>
      </c>
      <c r="E111" s="31">
        <v>55</v>
      </c>
      <c r="F111" s="128">
        <f t="shared" si="430"/>
        <v>55</v>
      </c>
      <c r="G111" s="139">
        <v>0</v>
      </c>
      <c r="H111" s="139">
        <v>8</v>
      </c>
      <c r="I111" s="139">
        <v>0</v>
      </c>
      <c r="J111" s="243">
        <v>2</v>
      </c>
      <c r="K111" s="140">
        <v>0</v>
      </c>
      <c r="L111" t="s">
        <v>8</v>
      </c>
      <c r="M111" s="31">
        <f t="shared" si="431"/>
        <v>4944</v>
      </c>
      <c r="N111">
        <v>4</v>
      </c>
      <c r="O111" s="41">
        <f>M111+(N111*F111)</f>
        <v>5164</v>
      </c>
      <c r="P111" s="41"/>
      <c r="Q111" s="108" t="s">
        <v>49</v>
      </c>
      <c r="R111" s="179" t="s">
        <v>92</v>
      </c>
      <c r="S111" s="186" t="str">
        <f t="shared" si="433"/>
        <v>BPD2009</v>
      </c>
      <c r="T111"/>
      <c r="U111"/>
      <c r="V111"/>
      <c r="W111"/>
      <c r="X111"/>
      <c r="Y111" s="85">
        <v>2009</v>
      </c>
      <c r="Z111" s="2">
        <f t="shared" si="434"/>
        <v>0</v>
      </c>
      <c r="AA111" s="2">
        <f t="shared" si="435"/>
        <v>32</v>
      </c>
      <c r="AB111" s="2">
        <f t="shared" si="436"/>
        <v>0</v>
      </c>
      <c r="AC111" s="2">
        <f t="shared" si="437"/>
        <v>8</v>
      </c>
      <c r="AD111" s="2">
        <f t="shared" si="438"/>
        <v>0</v>
      </c>
      <c r="AE111" s="3">
        <f t="shared" si="439"/>
        <v>220</v>
      </c>
      <c r="AF111" s="73"/>
      <c r="AG111" s="2"/>
      <c r="AH111" s="2"/>
      <c r="AJ111" s="80">
        <f t="shared" si="440"/>
        <v>0</v>
      </c>
      <c r="AK111" s="10">
        <f t="shared" si="441"/>
        <v>0</v>
      </c>
      <c r="AL111" s="10">
        <f t="shared" si="442"/>
        <v>0</v>
      </c>
      <c r="AM111" s="10">
        <f t="shared" si="443"/>
        <v>0</v>
      </c>
      <c r="AN111" s="10">
        <f t="shared" si="444"/>
        <v>0</v>
      </c>
      <c r="AO111" s="2">
        <f t="shared" si="445"/>
        <v>0</v>
      </c>
      <c r="AP111" s="73"/>
    </row>
    <row r="112" spans="1:42">
      <c r="A112" s="102" t="s">
        <v>306</v>
      </c>
      <c r="B112" s="40" t="s">
        <v>66</v>
      </c>
      <c r="C112">
        <v>1</v>
      </c>
      <c r="D112" s="40" t="s">
        <v>67</v>
      </c>
      <c r="E112" s="31">
        <v>55</v>
      </c>
      <c r="F112" s="128">
        <f t="shared" si="430"/>
        <v>55</v>
      </c>
      <c r="G112" s="139">
        <v>0</v>
      </c>
      <c r="H112" s="139">
        <v>8</v>
      </c>
      <c r="I112" s="139">
        <v>0</v>
      </c>
      <c r="J112" s="243">
        <v>2</v>
      </c>
      <c r="K112" s="140">
        <v>0</v>
      </c>
      <c r="L112" t="s">
        <v>8</v>
      </c>
      <c r="M112" s="31">
        <f t="shared" si="431"/>
        <v>1236</v>
      </c>
      <c r="N112">
        <v>1</v>
      </c>
      <c r="O112" s="41">
        <f>M112+(N112*F112)</f>
        <v>1291</v>
      </c>
      <c r="P112" s="41"/>
      <c r="Q112" s="108" t="s">
        <v>50</v>
      </c>
      <c r="R112" s="179" t="s">
        <v>92</v>
      </c>
      <c r="S112" s="186" t="str">
        <f t="shared" si="433"/>
        <v>CPD2009</v>
      </c>
      <c r="T112"/>
      <c r="U112"/>
      <c r="V112"/>
      <c r="W112"/>
      <c r="X112"/>
      <c r="Y112" s="85">
        <v>2009</v>
      </c>
      <c r="Z112" s="2">
        <f t="shared" si="434"/>
        <v>0</v>
      </c>
      <c r="AA112" s="2">
        <f t="shared" si="435"/>
        <v>0</v>
      </c>
      <c r="AB112" s="2">
        <f t="shared" si="436"/>
        <v>0</v>
      </c>
      <c r="AC112" s="2">
        <f t="shared" si="437"/>
        <v>0</v>
      </c>
      <c r="AD112" s="2">
        <f t="shared" si="438"/>
        <v>0</v>
      </c>
      <c r="AE112" s="3">
        <f t="shared" si="439"/>
        <v>0</v>
      </c>
      <c r="AF112" s="73"/>
      <c r="AG112" s="2"/>
      <c r="AH112" s="2"/>
      <c r="AJ112" s="80">
        <f t="shared" si="440"/>
        <v>0</v>
      </c>
      <c r="AK112" s="10">
        <f t="shared" si="441"/>
        <v>8</v>
      </c>
      <c r="AL112" s="10">
        <f t="shared" si="442"/>
        <v>0</v>
      </c>
      <c r="AM112" s="10">
        <f t="shared" si="443"/>
        <v>2</v>
      </c>
      <c r="AN112" s="10">
        <f t="shared" si="444"/>
        <v>0</v>
      </c>
      <c r="AO112" s="2">
        <f t="shared" si="445"/>
        <v>55</v>
      </c>
      <c r="AP112" s="73"/>
    </row>
    <row r="113" spans="1:42" s="106" customFormat="1">
      <c r="A113" s="103" t="s">
        <v>161</v>
      </c>
      <c r="E113" s="120"/>
      <c r="F113" s="129"/>
      <c r="G113" s="143"/>
      <c r="H113" s="143"/>
      <c r="I113" s="143"/>
      <c r="J113" s="143"/>
      <c r="K113" s="144"/>
      <c r="L113" s="169" t="s">
        <v>79</v>
      </c>
      <c r="M113" s="170">
        <f>SUMIF(Q108:Q112,"B",M108:M112)</f>
        <v>8748</v>
      </c>
      <c r="N113" s="171" t="s">
        <v>79</v>
      </c>
      <c r="O113" s="112"/>
      <c r="P113" s="112"/>
      <c r="Q113" s="108"/>
      <c r="R113" s="179"/>
      <c r="S113" s="186"/>
      <c r="T113"/>
      <c r="U113"/>
      <c r="V113"/>
      <c r="W113"/>
      <c r="X113"/>
      <c r="Y113" s="113"/>
      <c r="Z113" s="114"/>
      <c r="AA113" s="114"/>
      <c r="AB113" s="115"/>
      <c r="AC113" s="114"/>
      <c r="AD113" s="114"/>
      <c r="AE113" s="48"/>
      <c r="AF113" s="116"/>
      <c r="AG113" s="101"/>
      <c r="AH113" s="101"/>
      <c r="AI113" s="31"/>
      <c r="AJ113" s="117"/>
      <c r="AK113" s="114"/>
      <c r="AL113" s="114"/>
      <c r="AM113" s="114"/>
      <c r="AN113" s="114"/>
      <c r="AO113" s="101"/>
      <c r="AP113" s="116"/>
    </row>
    <row r="114" spans="1:42">
      <c r="A114" s="102" t="s">
        <v>163</v>
      </c>
      <c r="B114" s="40" t="s">
        <v>66</v>
      </c>
      <c r="C114">
        <v>1</v>
      </c>
      <c r="D114" s="40" t="s">
        <v>67</v>
      </c>
      <c r="E114" s="31">
        <v>55</v>
      </c>
      <c r="F114" s="128">
        <f t="shared" ref="F114:F121" si="462">E114*C114</f>
        <v>55</v>
      </c>
      <c r="G114" s="139">
        <v>0</v>
      </c>
      <c r="H114" s="139">
        <v>4</v>
      </c>
      <c r="I114" s="139">
        <v>0</v>
      </c>
      <c r="J114" s="139">
        <v>2</v>
      </c>
      <c r="K114" s="140">
        <v>0</v>
      </c>
      <c r="L114" t="s">
        <v>8</v>
      </c>
      <c r="M114" s="31">
        <f t="shared" ref="M114:M121" si="463">((Shop*G114)+(M_Tech*H114)+(CMM*I114)+(ENG*J114)+(DES*K114))*N114</f>
        <v>0</v>
      </c>
      <c r="N114" s="242">
        <v>0</v>
      </c>
      <c r="O114" s="41">
        <f t="shared" ref="O114" si="464">M114+(N114*F114)</f>
        <v>0</v>
      </c>
      <c r="P114" s="41"/>
      <c r="Q114" s="108" t="s">
        <v>49</v>
      </c>
      <c r="R114" s="179" t="s">
        <v>92</v>
      </c>
      <c r="S114" s="186" t="str">
        <f t="shared" ref="S114:S121" si="465">CONCATENATE(Q114,R114,Y114)</f>
        <v>BPD2009</v>
      </c>
      <c r="T114"/>
      <c r="U114"/>
      <c r="V114"/>
      <c r="W114"/>
      <c r="X114"/>
      <c r="Y114" s="85">
        <v>2009</v>
      </c>
      <c r="Z114" s="2">
        <f t="shared" ref="Z114:Z121" si="466">IF($Q114="B", (G114*$N114),0)</f>
        <v>0</v>
      </c>
      <c r="AA114" s="2">
        <f t="shared" ref="AA114:AA121" si="467">IF($Q114="B", (H114*$N114),0)</f>
        <v>0</v>
      </c>
      <c r="AB114" s="2">
        <f t="shared" ref="AB114:AB121" si="468">IF($Q114="B", (I114*$N114),0)</f>
        <v>0</v>
      </c>
      <c r="AC114" s="2">
        <f t="shared" ref="AC114:AC121" si="469">IF($Q114="B", (J114*$N114),0)</f>
        <v>0</v>
      </c>
      <c r="AD114" s="2">
        <f t="shared" ref="AD114:AD121" si="470">IF($Q114="B", (K114*$N114),0)</f>
        <v>0</v>
      </c>
      <c r="AE114" s="3">
        <f t="shared" ref="AE114:AE121" si="471">IF($Q114="B", (F114*$N114),0)</f>
        <v>0</v>
      </c>
      <c r="AF114" s="73"/>
      <c r="AG114" s="2"/>
      <c r="AH114" s="2"/>
      <c r="AJ114" s="80">
        <f t="shared" ref="AJ114:AJ121" si="472">IF($Q114="C", (G114*$N114),0)</f>
        <v>0</v>
      </c>
      <c r="AK114" s="10">
        <f t="shared" ref="AK114:AK121" si="473">IF($Q114="C", (H114*$N114),0)</f>
        <v>0</v>
      </c>
      <c r="AL114" s="10">
        <f t="shared" ref="AL114:AL121" si="474">IF($Q114="C", (I114*$N114),0)</f>
        <v>0</v>
      </c>
      <c r="AM114" s="10">
        <f t="shared" ref="AM114:AM121" si="475">IF($Q114="C", (J114*$N114),0)</f>
        <v>0</v>
      </c>
      <c r="AN114" s="10">
        <f t="shared" ref="AN114:AN121" si="476">IF($Q114="C", (K114*$N114),0)</f>
        <v>0</v>
      </c>
      <c r="AO114" s="2">
        <f t="shared" ref="AO114:AO121" si="477">IF($Q114="C", (F114*$N114),0)</f>
        <v>0</v>
      </c>
      <c r="AP114" s="73"/>
    </row>
    <row r="115" spans="1:42">
      <c r="A115" s="102" t="s">
        <v>164</v>
      </c>
      <c r="B115" s="40" t="s">
        <v>66</v>
      </c>
      <c r="C115">
        <v>1</v>
      </c>
      <c r="D115" s="40" t="s">
        <v>67</v>
      </c>
      <c r="E115" s="31">
        <v>55</v>
      </c>
      <c r="F115" s="128">
        <f t="shared" si="462"/>
        <v>55</v>
      </c>
      <c r="G115" s="139">
        <v>0</v>
      </c>
      <c r="H115" s="139">
        <v>4</v>
      </c>
      <c r="I115" s="139">
        <v>0</v>
      </c>
      <c r="J115" s="139">
        <v>0</v>
      </c>
      <c r="K115" s="140">
        <v>0</v>
      </c>
      <c r="L115" t="s">
        <v>8</v>
      </c>
      <c r="M115" s="31">
        <f t="shared" si="463"/>
        <v>0</v>
      </c>
      <c r="N115" s="242">
        <v>0</v>
      </c>
      <c r="O115" s="41">
        <f>M115+(N115*F115)</f>
        <v>0</v>
      </c>
      <c r="P115" s="41"/>
      <c r="Q115" s="108" t="s">
        <v>50</v>
      </c>
      <c r="R115" s="179" t="s">
        <v>92</v>
      </c>
      <c r="S115" s="186" t="str">
        <f t="shared" si="465"/>
        <v>CPD2009</v>
      </c>
      <c r="T115"/>
      <c r="U115"/>
      <c r="V115"/>
      <c r="W115"/>
      <c r="X115"/>
      <c r="Y115" s="85">
        <v>2009</v>
      </c>
      <c r="Z115" s="2">
        <f t="shared" si="466"/>
        <v>0</v>
      </c>
      <c r="AA115" s="2">
        <f t="shared" si="467"/>
        <v>0</v>
      </c>
      <c r="AB115" s="2">
        <f t="shared" si="468"/>
        <v>0</v>
      </c>
      <c r="AC115" s="2">
        <f t="shared" si="469"/>
        <v>0</v>
      </c>
      <c r="AD115" s="2">
        <f t="shared" si="470"/>
        <v>0</v>
      </c>
      <c r="AE115" s="3">
        <f t="shared" si="471"/>
        <v>0</v>
      </c>
      <c r="AF115" s="73"/>
      <c r="AG115" s="2"/>
      <c r="AH115" s="2"/>
      <c r="AJ115" s="80">
        <f t="shared" si="472"/>
        <v>0</v>
      </c>
      <c r="AK115" s="10">
        <f t="shared" si="473"/>
        <v>0</v>
      </c>
      <c r="AL115" s="10">
        <f t="shared" si="474"/>
        <v>0</v>
      </c>
      <c r="AM115" s="10">
        <f t="shared" si="475"/>
        <v>0</v>
      </c>
      <c r="AN115" s="10">
        <f t="shared" si="476"/>
        <v>0</v>
      </c>
      <c r="AO115" s="2">
        <f t="shared" si="477"/>
        <v>0</v>
      </c>
      <c r="AP115" s="73"/>
    </row>
    <row r="116" spans="1:42">
      <c r="A116" s="102" t="s">
        <v>165</v>
      </c>
      <c r="B116" s="40" t="s">
        <v>66</v>
      </c>
      <c r="C116">
        <v>1</v>
      </c>
      <c r="D116" s="40" t="s">
        <v>67</v>
      </c>
      <c r="E116" s="31">
        <v>55</v>
      </c>
      <c r="F116" s="128">
        <f t="shared" ref="F116:F117" si="478">E116*C116</f>
        <v>55</v>
      </c>
      <c r="G116" s="139">
        <v>0</v>
      </c>
      <c r="H116" s="243">
        <v>8</v>
      </c>
      <c r="I116" s="139">
        <v>0</v>
      </c>
      <c r="J116" s="139">
        <v>2</v>
      </c>
      <c r="K116" s="140">
        <v>0</v>
      </c>
      <c r="L116" t="s">
        <v>8</v>
      </c>
      <c r="M116" s="31">
        <f t="shared" ref="M116:M117" si="479">((Shop*G116)+(M_Tech*H116)+(CMM*I116)+(ENG*J116)+(DES*K116))*N116</f>
        <v>4944</v>
      </c>
      <c r="N116">
        <v>4</v>
      </c>
      <c r="O116" s="41">
        <f t="shared" ref="O116" si="480">M116+(N116*F116)</f>
        <v>5164</v>
      </c>
      <c r="P116" s="41"/>
      <c r="Q116" s="108" t="s">
        <v>49</v>
      </c>
      <c r="R116" s="179" t="s">
        <v>92</v>
      </c>
      <c r="S116" s="186" t="str">
        <f t="shared" ref="S116:S117" si="481">CONCATENATE(Q116,R116,Y116)</f>
        <v>BPD2009</v>
      </c>
      <c r="T116"/>
      <c r="U116"/>
      <c r="V116"/>
      <c r="W116"/>
      <c r="X116"/>
      <c r="Y116" s="85">
        <v>2009</v>
      </c>
      <c r="Z116" s="2">
        <f t="shared" ref="Z116:Z117" si="482">IF($Q116="B", (G116*$N116),0)</f>
        <v>0</v>
      </c>
      <c r="AA116" s="2">
        <f t="shared" ref="AA116:AA117" si="483">IF($Q116="B", (H116*$N116),0)</f>
        <v>32</v>
      </c>
      <c r="AB116" s="2">
        <f t="shared" ref="AB116:AB117" si="484">IF($Q116="B", (I116*$N116),0)</f>
        <v>0</v>
      </c>
      <c r="AC116" s="2">
        <f t="shared" ref="AC116:AC117" si="485">IF($Q116="B", (J116*$N116),0)</f>
        <v>8</v>
      </c>
      <c r="AD116" s="2">
        <f t="shared" ref="AD116:AD117" si="486">IF($Q116="B", (K116*$N116),0)</f>
        <v>0</v>
      </c>
      <c r="AE116" s="3">
        <f t="shared" ref="AE116:AE117" si="487">IF($Q116="B", (F116*$N116),0)</f>
        <v>220</v>
      </c>
      <c r="AF116" s="73"/>
      <c r="AG116" s="2"/>
      <c r="AH116" s="2"/>
      <c r="AJ116" s="80">
        <f t="shared" ref="AJ116:AJ117" si="488">IF($Q116="C", (G116*$N116),0)</f>
        <v>0</v>
      </c>
      <c r="AK116" s="10">
        <f t="shared" ref="AK116:AK117" si="489">IF($Q116="C", (H116*$N116),0)</f>
        <v>0</v>
      </c>
      <c r="AL116" s="10">
        <f t="shared" ref="AL116:AL117" si="490">IF($Q116="C", (I116*$N116),0)</f>
        <v>0</v>
      </c>
      <c r="AM116" s="10">
        <f t="shared" ref="AM116:AM117" si="491">IF($Q116="C", (J116*$N116),0)</f>
        <v>0</v>
      </c>
      <c r="AN116" s="10">
        <f t="shared" ref="AN116:AN117" si="492">IF($Q116="C", (K116*$N116),0)</f>
        <v>0</v>
      </c>
      <c r="AO116" s="2">
        <f t="shared" ref="AO116:AO117" si="493">IF($Q116="C", (F116*$N116),0)</f>
        <v>0</v>
      </c>
      <c r="AP116" s="73"/>
    </row>
    <row r="117" spans="1:42">
      <c r="A117" s="102" t="s">
        <v>166</v>
      </c>
      <c r="B117" s="40" t="s">
        <v>66</v>
      </c>
      <c r="C117">
        <v>1</v>
      </c>
      <c r="D117" s="40" t="s">
        <v>67</v>
      </c>
      <c r="E117" s="31">
        <v>55</v>
      </c>
      <c r="F117" s="128">
        <f t="shared" si="478"/>
        <v>55</v>
      </c>
      <c r="G117" s="139">
        <v>0</v>
      </c>
      <c r="H117" s="243">
        <v>8</v>
      </c>
      <c r="I117" s="139">
        <v>0</v>
      </c>
      <c r="J117" s="139">
        <v>0</v>
      </c>
      <c r="K117" s="140">
        <v>0</v>
      </c>
      <c r="L117" t="s">
        <v>8</v>
      </c>
      <c r="M117" s="31">
        <f t="shared" si="479"/>
        <v>936</v>
      </c>
      <c r="N117">
        <v>1</v>
      </c>
      <c r="O117" s="41">
        <f>M117+(N117*F117)</f>
        <v>991</v>
      </c>
      <c r="P117" s="41"/>
      <c r="Q117" s="108" t="s">
        <v>50</v>
      </c>
      <c r="R117" s="179" t="s">
        <v>92</v>
      </c>
      <c r="S117" s="186" t="str">
        <f t="shared" si="481"/>
        <v>CPD2009</v>
      </c>
      <c r="T117"/>
      <c r="U117"/>
      <c r="V117"/>
      <c r="W117"/>
      <c r="X117"/>
      <c r="Y117" s="85">
        <v>2009</v>
      </c>
      <c r="Z117" s="2">
        <f t="shared" si="482"/>
        <v>0</v>
      </c>
      <c r="AA117" s="2">
        <f t="shared" si="483"/>
        <v>0</v>
      </c>
      <c r="AB117" s="2">
        <f t="shared" si="484"/>
        <v>0</v>
      </c>
      <c r="AC117" s="2">
        <f t="shared" si="485"/>
        <v>0</v>
      </c>
      <c r="AD117" s="2">
        <f t="shared" si="486"/>
        <v>0</v>
      </c>
      <c r="AE117" s="3">
        <f t="shared" si="487"/>
        <v>0</v>
      </c>
      <c r="AF117" s="73"/>
      <c r="AG117" s="2"/>
      <c r="AH117" s="2"/>
      <c r="AJ117" s="80">
        <f t="shared" si="488"/>
        <v>0</v>
      </c>
      <c r="AK117" s="10">
        <f t="shared" si="489"/>
        <v>8</v>
      </c>
      <c r="AL117" s="10">
        <f t="shared" si="490"/>
        <v>0</v>
      </c>
      <c r="AM117" s="10">
        <f t="shared" si="491"/>
        <v>0</v>
      </c>
      <c r="AN117" s="10">
        <f t="shared" si="492"/>
        <v>0</v>
      </c>
      <c r="AO117" s="2">
        <f t="shared" si="493"/>
        <v>55</v>
      </c>
      <c r="AP117" s="73"/>
    </row>
    <row r="118" spans="1:42">
      <c r="A118" s="102" t="s">
        <v>167</v>
      </c>
      <c r="B118" s="40" t="s">
        <v>66</v>
      </c>
      <c r="C118">
        <v>1</v>
      </c>
      <c r="D118" s="40" t="s">
        <v>67</v>
      </c>
      <c r="E118" s="31">
        <v>55</v>
      </c>
      <c r="F118" s="128">
        <f t="shared" si="462"/>
        <v>55</v>
      </c>
      <c r="G118" s="139">
        <v>4</v>
      </c>
      <c r="H118" s="139">
        <v>4</v>
      </c>
      <c r="I118" s="139">
        <v>0</v>
      </c>
      <c r="J118" s="139">
        <v>2</v>
      </c>
      <c r="K118" s="140">
        <v>0</v>
      </c>
      <c r="L118" t="s">
        <v>8</v>
      </c>
      <c r="M118" s="31">
        <f t="shared" si="463"/>
        <v>0</v>
      </c>
      <c r="N118" s="242">
        <v>0</v>
      </c>
      <c r="O118" s="41">
        <f>M118+(N118*F118)</f>
        <v>0</v>
      </c>
      <c r="P118" s="41"/>
      <c r="Q118" s="108" t="s">
        <v>49</v>
      </c>
      <c r="R118" s="179" t="s">
        <v>92</v>
      </c>
      <c r="S118" s="186" t="str">
        <f t="shared" si="465"/>
        <v>BPD2009</v>
      </c>
      <c r="T118"/>
      <c r="U118"/>
      <c r="V118"/>
      <c r="W118"/>
      <c r="X118"/>
      <c r="Y118" s="85">
        <v>2009</v>
      </c>
      <c r="Z118" s="2">
        <f t="shared" si="466"/>
        <v>0</v>
      </c>
      <c r="AA118" s="2">
        <f t="shared" si="467"/>
        <v>0</v>
      </c>
      <c r="AB118" s="2">
        <f t="shared" si="468"/>
        <v>0</v>
      </c>
      <c r="AC118" s="2">
        <f t="shared" si="469"/>
        <v>0</v>
      </c>
      <c r="AD118" s="2">
        <f t="shared" si="470"/>
        <v>0</v>
      </c>
      <c r="AE118" s="3">
        <f t="shared" si="471"/>
        <v>0</v>
      </c>
      <c r="AF118" s="73"/>
      <c r="AG118" s="2"/>
      <c r="AH118" s="2"/>
      <c r="AJ118" s="80">
        <f t="shared" si="472"/>
        <v>0</v>
      </c>
      <c r="AK118" s="10">
        <f t="shared" si="473"/>
        <v>0</v>
      </c>
      <c r="AL118" s="10">
        <f t="shared" si="474"/>
        <v>0</v>
      </c>
      <c r="AM118" s="10">
        <f t="shared" si="475"/>
        <v>0</v>
      </c>
      <c r="AN118" s="10">
        <f t="shared" si="476"/>
        <v>0</v>
      </c>
      <c r="AO118" s="2">
        <f t="shared" si="477"/>
        <v>0</v>
      </c>
      <c r="AP118" s="73"/>
    </row>
    <row r="119" spans="1:42">
      <c r="A119" s="102" t="s">
        <v>168</v>
      </c>
      <c r="B119" s="40" t="s">
        <v>66</v>
      </c>
      <c r="C119">
        <v>1</v>
      </c>
      <c r="D119" s="40" t="s">
        <v>67</v>
      </c>
      <c r="E119" s="31">
        <v>55</v>
      </c>
      <c r="F119" s="128">
        <f t="shared" ref="F119" si="494">E119*C119</f>
        <v>55</v>
      </c>
      <c r="G119" s="139">
        <v>4</v>
      </c>
      <c r="H119" s="139">
        <v>4</v>
      </c>
      <c r="I119" s="139">
        <v>0</v>
      </c>
      <c r="J119" s="139">
        <v>0</v>
      </c>
      <c r="K119" s="140">
        <v>0</v>
      </c>
      <c r="L119" t="s">
        <v>8</v>
      </c>
      <c r="M119" s="31">
        <f t="shared" ref="M119" si="495">((Shop*G119)+(M_Tech*H119)+(CMM*I119)+(ENG*J119)+(DES*K119))*N119</f>
        <v>0</v>
      </c>
      <c r="N119" s="242">
        <v>0</v>
      </c>
      <c r="O119" s="41">
        <f>M119+(N119*F119)</f>
        <v>0</v>
      </c>
      <c r="P119" s="41"/>
      <c r="Q119" s="108" t="s">
        <v>50</v>
      </c>
      <c r="R119" s="179" t="s">
        <v>92</v>
      </c>
      <c r="S119" s="186" t="str">
        <f t="shared" ref="S119" si="496">CONCATENATE(Q119,R119,Y119)</f>
        <v>CPD2009</v>
      </c>
      <c r="T119"/>
      <c r="U119"/>
      <c r="V119"/>
      <c r="W119"/>
      <c r="X119"/>
      <c r="Y119" s="85">
        <v>2009</v>
      </c>
      <c r="Z119" s="2">
        <f t="shared" ref="Z119" si="497">IF($Q119="B", (G119*$N119),0)</f>
        <v>0</v>
      </c>
      <c r="AA119" s="2">
        <f t="shared" ref="AA119" si="498">IF($Q119="B", (H119*$N119),0)</f>
        <v>0</v>
      </c>
      <c r="AB119" s="2">
        <f t="shared" ref="AB119" si="499">IF($Q119="B", (I119*$N119),0)</f>
        <v>0</v>
      </c>
      <c r="AC119" s="2">
        <f t="shared" ref="AC119" si="500">IF($Q119="B", (J119*$N119),0)</f>
        <v>0</v>
      </c>
      <c r="AD119" s="2">
        <f t="shared" ref="AD119" si="501">IF($Q119="B", (K119*$N119),0)</f>
        <v>0</v>
      </c>
      <c r="AE119" s="3">
        <f t="shared" ref="AE119" si="502">IF($Q119="B", (F119*$N119),0)</f>
        <v>0</v>
      </c>
      <c r="AF119" s="73"/>
      <c r="AG119" s="2"/>
      <c r="AH119" s="2"/>
      <c r="AJ119" s="80">
        <f t="shared" ref="AJ119" si="503">IF($Q119="C", (G119*$N119),0)</f>
        <v>0</v>
      </c>
      <c r="AK119" s="10">
        <f t="shared" ref="AK119" si="504">IF($Q119="C", (H119*$N119),0)</f>
        <v>0</v>
      </c>
      <c r="AL119" s="10">
        <f t="shared" ref="AL119" si="505">IF($Q119="C", (I119*$N119),0)</f>
        <v>0</v>
      </c>
      <c r="AM119" s="10">
        <f t="shared" ref="AM119" si="506">IF($Q119="C", (J119*$N119),0)</f>
        <v>0</v>
      </c>
      <c r="AN119" s="10">
        <f t="shared" ref="AN119" si="507">IF($Q119="C", (K119*$N119),0)</f>
        <v>0</v>
      </c>
      <c r="AO119" s="2">
        <f t="shared" ref="AO119" si="508">IF($Q119="C", (F119*$N119),0)</f>
        <v>0</v>
      </c>
      <c r="AP119" s="73"/>
    </row>
    <row r="120" spans="1:42">
      <c r="A120" s="102" t="s">
        <v>169</v>
      </c>
      <c r="B120" s="40" t="s">
        <v>34</v>
      </c>
      <c r="C120">
        <v>0</v>
      </c>
      <c r="D120" s="40" t="s">
        <v>9</v>
      </c>
      <c r="E120" s="31">
        <v>0</v>
      </c>
      <c r="F120" s="128">
        <f t="shared" si="462"/>
        <v>0</v>
      </c>
      <c r="G120" s="139">
        <v>0</v>
      </c>
      <c r="H120" s="139">
        <v>4</v>
      </c>
      <c r="I120" s="139">
        <v>0</v>
      </c>
      <c r="J120" s="139">
        <v>4</v>
      </c>
      <c r="K120" s="140">
        <v>0</v>
      </c>
      <c r="L120" t="s">
        <v>8</v>
      </c>
      <c r="M120" s="31">
        <f t="shared" si="463"/>
        <v>0</v>
      </c>
      <c r="N120" s="242">
        <v>0</v>
      </c>
      <c r="O120" s="41">
        <f t="shared" ref="O120:O121" si="509">M120+(N120*F120)</f>
        <v>0</v>
      </c>
      <c r="P120" s="41"/>
      <c r="Q120" s="108" t="s">
        <v>49</v>
      </c>
      <c r="R120" s="179" t="s">
        <v>92</v>
      </c>
      <c r="S120" s="186" t="str">
        <f t="shared" si="465"/>
        <v>BPD2009</v>
      </c>
      <c r="T120"/>
      <c r="U120"/>
      <c r="V120"/>
      <c r="W120"/>
      <c r="X120"/>
      <c r="Y120" s="85">
        <v>2009</v>
      </c>
      <c r="Z120" s="2">
        <f t="shared" si="466"/>
        <v>0</v>
      </c>
      <c r="AA120" s="2">
        <f t="shared" si="467"/>
        <v>0</v>
      </c>
      <c r="AB120" s="2">
        <f t="shared" si="468"/>
        <v>0</v>
      </c>
      <c r="AC120" s="2">
        <f t="shared" si="469"/>
        <v>0</v>
      </c>
      <c r="AD120" s="2">
        <f t="shared" si="470"/>
        <v>0</v>
      </c>
      <c r="AE120" s="3">
        <f t="shared" si="471"/>
        <v>0</v>
      </c>
      <c r="AF120" s="73"/>
      <c r="AG120" s="2"/>
      <c r="AH120" s="2"/>
      <c r="AJ120" s="80">
        <f t="shared" si="472"/>
        <v>0</v>
      </c>
      <c r="AK120" s="10">
        <f t="shared" si="473"/>
        <v>0</v>
      </c>
      <c r="AL120" s="10">
        <f t="shared" si="474"/>
        <v>0</v>
      </c>
      <c r="AM120" s="10">
        <f t="shared" si="475"/>
        <v>0</v>
      </c>
      <c r="AN120" s="10">
        <f t="shared" si="476"/>
        <v>0</v>
      </c>
      <c r="AO120" s="2">
        <f t="shared" si="477"/>
        <v>0</v>
      </c>
      <c r="AP120" s="73"/>
    </row>
    <row r="121" spans="1:42">
      <c r="A121" s="102" t="s">
        <v>170</v>
      </c>
      <c r="B121" s="40" t="s">
        <v>34</v>
      </c>
      <c r="C121">
        <v>0</v>
      </c>
      <c r="D121" s="40" t="s">
        <v>9</v>
      </c>
      <c r="E121" s="31">
        <v>0</v>
      </c>
      <c r="F121" s="128">
        <f t="shared" si="462"/>
        <v>0</v>
      </c>
      <c r="G121" s="139">
        <v>0</v>
      </c>
      <c r="H121" s="139">
        <v>4</v>
      </c>
      <c r="I121" s="139">
        <v>0</v>
      </c>
      <c r="J121" s="139">
        <v>0</v>
      </c>
      <c r="K121" s="140">
        <v>0</v>
      </c>
      <c r="L121" t="s">
        <v>8</v>
      </c>
      <c r="M121" s="31">
        <f t="shared" si="463"/>
        <v>0</v>
      </c>
      <c r="N121" s="242">
        <v>0</v>
      </c>
      <c r="O121" s="41">
        <f t="shared" si="509"/>
        <v>0</v>
      </c>
      <c r="P121" s="41"/>
      <c r="Q121" s="108" t="s">
        <v>50</v>
      </c>
      <c r="R121" s="179" t="s">
        <v>92</v>
      </c>
      <c r="S121" s="186" t="str">
        <f t="shared" si="465"/>
        <v>CPD2009</v>
      </c>
      <c r="T121"/>
      <c r="U121"/>
      <c r="V121"/>
      <c r="W121"/>
      <c r="X121"/>
      <c r="Y121" s="85">
        <v>2009</v>
      </c>
      <c r="Z121" s="2">
        <f t="shared" si="466"/>
        <v>0</v>
      </c>
      <c r="AA121" s="2">
        <f t="shared" si="467"/>
        <v>0</v>
      </c>
      <c r="AB121" s="2">
        <f t="shared" si="468"/>
        <v>0</v>
      </c>
      <c r="AC121" s="2">
        <f t="shared" si="469"/>
        <v>0</v>
      </c>
      <c r="AD121" s="2">
        <f t="shared" si="470"/>
        <v>0</v>
      </c>
      <c r="AE121" s="3">
        <f t="shared" si="471"/>
        <v>0</v>
      </c>
      <c r="AF121" s="73"/>
      <c r="AG121" s="2"/>
      <c r="AH121" s="2"/>
      <c r="AJ121" s="80">
        <f t="shared" si="472"/>
        <v>0</v>
      </c>
      <c r="AK121" s="10">
        <f t="shared" si="473"/>
        <v>0</v>
      </c>
      <c r="AL121" s="10">
        <f t="shared" si="474"/>
        <v>0</v>
      </c>
      <c r="AM121" s="10">
        <f t="shared" si="475"/>
        <v>0</v>
      </c>
      <c r="AN121" s="10">
        <f t="shared" si="476"/>
        <v>0</v>
      </c>
      <c r="AO121" s="2">
        <f t="shared" si="477"/>
        <v>0</v>
      </c>
      <c r="AP121" s="73"/>
    </row>
    <row r="122" spans="1:42">
      <c r="A122" s="102" t="s">
        <v>171</v>
      </c>
      <c r="B122" s="40" t="s">
        <v>34</v>
      </c>
      <c r="C122">
        <v>0</v>
      </c>
      <c r="D122" s="40" t="s">
        <v>9</v>
      </c>
      <c r="E122" s="31">
        <v>0</v>
      </c>
      <c r="F122" s="128">
        <f>E122*C122</f>
        <v>0</v>
      </c>
      <c r="G122" s="243">
        <v>10</v>
      </c>
      <c r="H122" s="139">
        <v>0</v>
      </c>
      <c r="I122" s="139">
        <v>0</v>
      </c>
      <c r="J122" s="139">
        <v>4</v>
      </c>
      <c r="K122" s="140">
        <v>0</v>
      </c>
      <c r="L122" t="s">
        <v>8</v>
      </c>
      <c r="M122" s="31">
        <f>((Shop*G122)+(M_Tech*H122)+(CMM*I122)+(ENG*J122)+(DES*K122))*N122</f>
        <v>7480</v>
      </c>
      <c r="N122">
        <v>4</v>
      </c>
      <c r="O122" s="41">
        <f>M122+(N122*F122)</f>
        <v>7480</v>
      </c>
      <c r="P122" s="41"/>
      <c r="Q122" s="108" t="s">
        <v>49</v>
      </c>
      <c r="R122" s="179" t="s">
        <v>92</v>
      </c>
      <c r="S122" s="186" t="str">
        <f t="shared" ref="S122:S123" si="510">CONCATENATE(Q122,R122,Y122)</f>
        <v>BPD2009</v>
      </c>
      <c r="T122"/>
      <c r="U122"/>
      <c r="V122"/>
      <c r="W122"/>
      <c r="X122"/>
      <c r="Y122" s="85">
        <v>2009</v>
      </c>
      <c r="Z122" s="2">
        <f t="shared" ref="Z122:Z123" si="511">IF($Q122="B", (G122*$N122),0)</f>
        <v>40</v>
      </c>
      <c r="AA122" s="2">
        <f t="shared" ref="AA122:AA123" si="512">IF($Q122="B", (H122*$N122),0)</f>
        <v>0</v>
      </c>
      <c r="AB122" s="2">
        <f t="shared" ref="AB122:AB123" si="513">IF($Q122="B", (I122*$N122),0)</f>
        <v>0</v>
      </c>
      <c r="AC122" s="2">
        <f t="shared" ref="AC122:AC123" si="514">IF($Q122="B", (J122*$N122),0)</f>
        <v>16</v>
      </c>
      <c r="AD122" s="2">
        <f t="shared" ref="AD122:AD123" si="515">IF($Q122="B", (K122*$N122),0)</f>
        <v>0</v>
      </c>
      <c r="AE122" s="3">
        <f t="shared" ref="AE122:AE123" si="516">IF($Q122="B", (F122*$N122),0)</f>
        <v>0</v>
      </c>
      <c r="AF122" s="73"/>
      <c r="AG122" s="2"/>
      <c r="AH122" s="2"/>
      <c r="AJ122" s="80">
        <f t="shared" ref="AJ122:AJ123" si="517">IF($Q122="C", (G122*$N122),0)</f>
        <v>0</v>
      </c>
      <c r="AK122" s="10">
        <f t="shared" ref="AK122:AK123" si="518">IF($Q122="C", (H122*$N122),0)</f>
        <v>0</v>
      </c>
      <c r="AL122" s="10">
        <f t="shared" ref="AL122:AL123" si="519">IF($Q122="C", (I122*$N122),0)</f>
        <v>0</v>
      </c>
      <c r="AM122" s="10">
        <f t="shared" ref="AM122:AM123" si="520">IF($Q122="C", (J122*$N122),0)</f>
        <v>0</v>
      </c>
      <c r="AN122" s="10">
        <f t="shared" ref="AN122:AN123" si="521">IF($Q122="C", (K122*$N122),0)</f>
        <v>0</v>
      </c>
      <c r="AO122" s="2">
        <f t="shared" ref="AO122:AO123" si="522">IF($Q122="C", (F122*$N122),0)</f>
        <v>0</v>
      </c>
      <c r="AP122" s="73"/>
    </row>
    <row r="123" spans="1:42">
      <c r="A123" s="102" t="s">
        <v>172</v>
      </c>
      <c r="B123" s="40" t="s">
        <v>34</v>
      </c>
      <c r="C123">
        <v>0</v>
      </c>
      <c r="D123" s="40" t="s">
        <v>9</v>
      </c>
      <c r="E123" s="31">
        <v>0</v>
      </c>
      <c r="F123" s="128">
        <f>E123*C123</f>
        <v>0</v>
      </c>
      <c r="G123" s="243">
        <v>16</v>
      </c>
      <c r="H123" s="139">
        <v>0</v>
      </c>
      <c r="I123" s="139">
        <v>0</v>
      </c>
      <c r="J123" s="243">
        <v>4</v>
      </c>
      <c r="K123" s="140">
        <v>0</v>
      </c>
      <c r="L123" t="s">
        <v>8</v>
      </c>
      <c r="M123" s="31">
        <f>((Shop*G123)+(M_Tech*H123)+(CMM*I123)+(ENG*J123)+(DES*K123))*N123</f>
        <v>2632</v>
      </c>
      <c r="N123" s="242">
        <v>1</v>
      </c>
      <c r="O123" s="41">
        <f>M123+(N123*F123)</f>
        <v>2632</v>
      </c>
      <c r="P123" s="41"/>
      <c r="Q123" s="108" t="s">
        <v>50</v>
      </c>
      <c r="R123" s="179" t="s">
        <v>92</v>
      </c>
      <c r="S123" s="186" t="str">
        <f t="shared" si="510"/>
        <v>CPD2009</v>
      </c>
      <c r="T123"/>
      <c r="U123"/>
      <c r="V123"/>
      <c r="W123"/>
      <c r="X123"/>
      <c r="Y123" s="85">
        <v>2009</v>
      </c>
      <c r="Z123" s="2">
        <f t="shared" si="511"/>
        <v>0</v>
      </c>
      <c r="AA123" s="2">
        <f t="shared" si="512"/>
        <v>0</v>
      </c>
      <c r="AB123" s="2">
        <f t="shared" si="513"/>
        <v>0</v>
      </c>
      <c r="AC123" s="2">
        <f t="shared" si="514"/>
        <v>0</v>
      </c>
      <c r="AD123" s="2">
        <f t="shared" si="515"/>
        <v>0</v>
      </c>
      <c r="AE123" s="3">
        <f t="shared" si="516"/>
        <v>0</v>
      </c>
      <c r="AF123" s="73"/>
      <c r="AG123" s="2"/>
      <c r="AH123" s="2"/>
      <c r="AJ123" s="80">
        <f t="shared" si="517"/>
        <v>16</v>
      </c>
      <c r="AK123" s="10">
        <f t="shared" si="518"/>
        <v>0</v>
      </c>
      <c r="AL123" s="10">
        <f t="shared" si="519"/>
        <v>0</v>
      </c>
      <c r="AM123" s="10">
        <f t="shared" si="520"/>
        <v>4</v>
      </c>
      <c r="AN123" s="10">
        <f t="shared" si="521"/>
        <v>0</v>
      </c>
      <c r="AO123" s="2">
        <f t="shared" si="522"/>
        <v>0</v>
      </c>
      <c r="AP123" s="73"/>
    </row>
    <row r="124" spans="1:42">
      <c r="A124" s="43" t="s">
        <v>162</v>
      </c>
      <c r="B124" s="7"/>
      <c r="C124" s="7"/>
      <c r="D124" s="7"/>
      <c r="E124" s="9"/>
      <c r="F124" s="8"/>
      <c r="G124" s="141"/>
      <c r="H124" s="141"/>
      <c r="I124" s="141"/>
      <c r="J124" s="141"/>
      <c r="K124" s="142"/>
      <c r="L124" s="7"/>
      <c r="M124" s="9">
        <f>SUMIF(Q96:Q123,"B",M96:M123)</f>
        <v>54112</v>
      </c>
      <c r="N124" s="273" t="s">
        <v>78</v>
      </c>
      <c r="O124" s="274"/>
      <c r="P124" s="275"/>
      <c r="Q124" s="109"/>
      <c r="R124" s="182"/>
      <c r="S124" s="187"/>
      <c r="T124" s="7"/>
      <c r="U124" s="7"/>
      <c r="V124" s="7"/>
      <c r="W124" s="7"/>
      <c r="X124" s="7"/>
      <c r="Y124" s="86"/>
      <c r="Z124" s="11">
        <f>SUM(Z72:Z123)</f>
        <v>254</v>
      </c>
      <c r="AA124" s="11">
        <f t="shared" ref="AA124:AD124" si="523">SUM(AA72:AA123)</f>
        <v>236</v>
      </c>
      <c r="AB124" s="11">
        <f t="shared" si="523"/>
        <v>0</v>
      </c>
      <c r="AC124" s="11">
        <f t="shared" si="523"/>
        <v>208</v>
      </c>
      <c r="AD124" s="11">
        <f t="shared" si="523"/>
        <v>0</v>
      </c>
      <c r="AE124" s="9"/>
      <c r="AF124" s="8">
        <f>SUM(AE72:AE123)</f>
        <v>6405</v>
      </c>
      <c r="AG124" s="9">
        <f>(Shop*Z124)+M_Tech*AA124+CMM*AB124+ENG*AC124+DES*AD124+AF124</f>
        <v>97475</v>
      </c>
      <c r="AH124" s="9"/>
      <c r="AI124" s="8">
        <f>Shop*AJ124+M_Tech*AK124+CMM*AL124+ENG*AM124+DES*AN124+AP124</f>
        <v>29209</v>
      </c>
      <c r="AJ124" s="11">
        <f>SUM(AJ72:AJ123)</f>
        <v>76</v>
      </c>
      <c r="AK124" s="11">
        <f t="shared" ref="AK124" si="524">SUM(AK72:AK123)</f>
        <v>72</v>
      </c>
      <c r="AL124" s="11">
        <f t="shared" ref="AL124" si="525">SUM(AL72:AL123)</f>
        <v>0</v>
      </c>
      <c r="AM124" s="11">
        <f t="shared" ref="AM124" si="526">SUM(AM72:AM123)</f>
        <v>60</v>
      </c>
      <c r="AN124" s="11">
        <f t="shared" ref="AN124" si="527">SUM(AN72:AN123)</f>
        <v>0</v>
      </c>
      <c r="AO124" s="9"/>
      <c r="AP124" s="8">
        <f>SUM(AO72:AO123)</f>
        <v>2133</v>
      </c>
    </row>
    <row r="125" spans="1:42">
      <c r="F125" s="128"/>
      <c r="G125" s="139"/>
      <c r="H125" s="139"/>
      <c r="I125" s="139"/>
      <c r="J125" s="139"/>
      <c r="K125" s="140"/>
      <c r="L125" s="169" t="s">
        <v>79</v>
      </c>
      <c r="M125" s="170">
        <f>SUMIF(Q114:Q123,"B",M114:M123)</f>
        <v>12424</v>
      </c>
      <c r="N125" s="171" t="s">
        <v>79</v>
      </c>
      <c r="O125" s="171"/>
      <c r="P125" s="41"/>
      <c r="Q125" s="108"/>
      <c r="R125" s="179"/>
      <c r="S125" s="186"/>
      <c r="T125"/>
      <c r="U125"/>
      <c r="V125"/>
      <c r="W125"/>
      <c r="X125"/>
      <c r="Y125" s="85"/>
      <c r="Z125" s="10"/>
      <c r="AA125" s="10"/>
      <c r="AB125" s="10"/>
      <c r="AC125" s="10"/>
      <c r="AD125" s="10"/>
      <c r="AE125" s="3"/>
      <c r="AF125" s="73"/>
      <c r="AG125" s="2"/>
      <c r="AH125" s="2"/>
      <c r="AJ125" s="81"/>
      <c r="AK125" s="2"/>
      <c r="AL125" s="2"/>
      <c r="AM125" s="2"/>
      <c r="AN125" s="2"/>
      <c r="AO125" s="2"/>
      <c r="AP125" s="73"/>
    </row>
    <row r="126" spans="1:42">
      <c r="F126" s="128"/>
      <c r="G126" s="139"/>
      <c r="H126" s="139"/>
      <c r="I126" s="139"/>
      <c r="J126" s="139"/>
      <c r="K126" s="140"/>
      <c r="M126" s="31"/>
      <c r="N126"/>
      <c r="O126" s="41"/>
      <c r="P126" s="41"/>
      <c r="Q126" s="87"/>
      <c r="R126" s="180"/>
      <c r="S126" s="192"/>
      <c r="T126"/>
      <c r="U126"/>
      <c r="V126"/>
      <c r="W126"/>
      <c r="X126"/>
      <c r="Y126" s="88"/>
      <c r="Z126" s="74"/>
      <c r="AA126" s="74"/>
      <c r="AB126" s="74"/>
      <c r="AC126" s="74"/>
      <c r="AD126" s="74"/>
      <c r="AE126" s="75"/>
      <c r="AF126" s="76"/>
      <c r="AG126" s="1"/>
      <c r="AH126" s="1"/>
      <c r="AJ126" s="81"/>
      <c r="AK126" s="2"/>
      <c r="AL126" s="2"/>
      <c r="AM126" s="2"/>
      <c r="AN126" s="2"/>
      <c r="AO126" s="2"/>
      <c r="AP126" s="73"/>
    </row>
    <row r="127" spans="1:42" ht="15.75">
      <c r="A127" s="105" t="s">
        <v>136</v>
      </c>
      <c r="F127" s="128"/>
      <c r="G127" s="139"/>
      <c r="H127" s="139"/>
      <c r="I127" s="139"/>
      <c r="J127" s="139"/>
      <c r="K127" s="140"/>
      <c r="M127" s="31"/>
      <c r="N127"/>
      <c r="O127" s="41"/>
      <c r="P127" s="41"/>
      <c r="Q127" s="108"/>
      <c r="R127" s="179"/>
      <c r="S127" s="186"/>
      <c r="T127"/>
      <c r="U127"/>
      <c r="V127"/>
      <c r="W127"/>
      <c r="X127"/>
      <c r="Y127" s="85"/>
      <c r="Z127" s="10"/>
      <c r="AA127" s="10"/>
      <c r="AB127" s="10"/>
      <c r="AC127" s="10"/>
      <c r="AD127" s="10"/>
      <c r="AE127" s="3"/>
      <c r="AF127" s="73"/>
      <c r="AG127" s="2"/>
      <c r="AH127" s="2"/>
      <c r="AJ127" s="81"/>
      <c r="AK127" s="2"/>
      <c r="AL127" s="2"/>
      <c r="AM127" s="2"/>
      <c r="AN127" s="2"/>
      <c r="AO127" s="2"/>
      <c r="AP127" s="73"/>
    </row>
    <row r="128" spans="1:42" s="155" customFormat="1">
      <c r="A128" s="103" t="s">
        <v>173</v>
      </c>
      <c r="E128" s="156"/>
      <c r="F128" s="157"/>
      <c r="G128" s="158"/>
      <c r="H128" s="158"/>
      <c r="I128" s="158"/>
      <c r="J128" s="158"/>
      <c r="K128" s="159"/>
      <c r="L128" s="169"/>
      <c r="M128" s="170"/>
      <c r="N128" s="171">
        <v>1</v>
      </c>
      <c r="O128" s="170"/>
      <c r="P128" s="160"/>
      <c r="Q128" s="161"/>
      <c r="R128" s="181"/>
      <c r="S128" s="188"/>
      <c r="T128"/>
      <c r="U128"/>
      <c r="V128"/>
      <c r="W128"/>
      <c r="X128"/>
      <c r="Y128" s="162"/>
      <c r="Z128" s="163"/>
      <c r="AA128" s="163"/>
      <c r="AB128" s="163"/>
      <c r="AC128" s="163"/>
      <c r="AD128" s="163"/>
      <c r="AE128" s="164"/>
      <c r="AF128" s="165"/>
      <c r="AG128" s="163"/>
      <c r="AH128" s="163"/>
      <c r="AI128" s="31"/>
      <c r="AJ128" s="166"/>
      <c r="AK128" s="163"/>
      <c r="AL128" s="163"/>
      <c r="AM128" s="163"/>
      <c r="AN128" s="163"/>
      <c r="AO128" s="163"/>
      <c r="AP128" s="165"/>
    </row>
    <row r="129" spans="1:42" s="38" customFormat="1">
      <c r="A129" s="102" t="s">
        <v>128</v>
      </c>
      <c r="B129" s="40" t="s">
        <v>7</v>
      </c>
      <c r="C129" s="242">
        <v>200</v>
      </c>
      <c r="D129" s="40" t="s">
        <v>41</v>
      </c>
      <c r="E129" s="245">
        <v>12</v>
      </c>
      <c r="F129" s="128">
        <f t="shared" ref="F129:F132" si="528">E129*C129</f>
        <v>2400</v>
      </c>
      <c r="G129" s="139">
        <v>16</v>
      </c>
      <c r="H129" s="139">
        <v>0</v>
      </c>
      <c r="I129" s="139">
        <v>0</v>
      </c>
      <c r="J129" s="243">
        <v>0</v>
      </c>
      <c r="K129" s="140">
        <v>0</v>
      </c>
      <c r="L129" t="s">
        <v>8</v>
      </c>
      <c r="M129" s="31">
        <f t="shared" ref="M129:M132" si="529">((Shop*G129)+(M_Tech*H129)+(CMM*I129)+(ENG*J129)+(DES*K129))*N129</f>
        <v>2032</v>
      </c>
      <c r="N129">
        <v>1</v>
      </c>
      <c r="O129" s="41">
        <f t="shared" ref="O129:O132" si="530">M129+(N129*F129)</f>
        <v>4432</v>
      </c>
      <c r="P129" s="41"/>
      <c r="Q129" s="108" t="s">
        <v>49</v>
      </c>
      <c r="R129" s="179" t="s">
        <v>92</v>
      </c>
      <c r="S129" s="186" t="str">
        <f t="shared" ref="S129:S132" si="531">CONCATENATE(Q129,R129,Y129)</f>
        <v>BPD2009</v>
      </c>
      <c r="T129"/>
      <c r="U129"/>
      <c r="V129"/>
      <c r="W129"/>
      <c r="X129"/>
      <c r="Y129" s="85">
        <v>2009</v>
      </c>
      <c r="Z129" s="2">
        <f t="shared" ref="Z129:Z132" si="532">IF($Q129="B", (G129*$N129),0)</f>
        <v>16</v>
      </c>
      <c r="AA129" s="2">
        <f t="shared" ref="AA129:AA132" si="533">IF($Q129="B", (H129*$N129),0)</f>
        <v>0</v>
      </c>
      <c r="AB129" s="2">
        <f t="shared" ref="AB129:AB132" si="534">IF($Q129="B", (I129*$N129),0)</f>
        <v>0</v>
      </c>
      <c r="AC129" s="2">
        <f t="shared" ref="AC129:AC132" si="535">IF($Q129="B", (J129*$N129),0)</f>
        <v>0</v>
      </c>
      <c r="AD129" s="2">
        <f t="shared" ref="AD129:AD132" si="536">IF($Q129="B", (K129*$N129),0)</f>
        <v>0</v>
      </c>
      <c r="AE129" s="3">
        <f t="shared" ref="AE129:AE132" si="537">IF($Q129="B", (F129*$N129),0)</f>
        <v>2400</v>
      </c>
      <c r="AF129" s="39"/>
      <c r="AG129" s="37"/>
      <c r="AH129" s="37"/>
      <c r="AI129" s="31"/>
      <c r="AJ129" s="80">
        <f t="shared" ref="AJ129" si="538">IF($Q129="C", (G129*$N129),0)</f>
        <v>0</v>
      </c>
      <c r="AK129" s="10">
        <f t="shared" ref="AK129" si="539">IF($Q129="C", (H129*$N129),0)</f>
        <v>0</v>
      </c>
      <c r="AL129" s="10">
        <f t="shared" ref="AL129" si="540">IF($Q129="C", (I129*$N129),0)</f>
        <v>0</v>
      </c>
      <c r="AM129" s="10">
        <f t="shared" ref="AM129" si="541">IF($Q129="C", (J129*$N129),0)</f>
        <v>0</v>
      </c>
      <c r="AN129" s="10">
        <f t="shared" ref="AN129" si="542">IF($Q129="C", (K129*$N129),0)</f>
        <v>0</v>
      </c>
      <c r="AO129" s="2">
        <f t="shared" ref="AO129" si="543">IF($Q129="C", (F129*$N129),0)</f>
        <v>0</v>
      </c>
      <c r="AP129" s="39"/>
    </row>
    <row r="130" spans="1:42" s="38" customFormat="1">
      <c r="A130" s="102" t="s">
        <v>174</v>
      </c>
      <c r="B130" s="40" t="s">
        <v>7</v>
      </c>
      <c r="C130" s="242">
        <v>60</v>
      </c>
      <c r="D130" s="40" t="s">
        <v>41</v>
      </c>
      <c r="E130" s="31">
        <v>8</v>
      </c>
      <c r="F130" s="128">
        <f t="shared" si="528"/>
        <v>480</v>
      </c>
      <c r="G130" s="243">
        <v>24</v>
      </c>
      <c r="H130" s="139">
        <v>0</v>
      </c>
      <c r="I130" s="139">
        <v>0</v>
      </c>
      <c r="J130" s="139">
        <v>0</v>
      </c>
      <c r="K130" s="140">
        <v>0</v>
      </c>
      <c r="L130" t="s">
        <v>8</v>
      </c>
      <c r="M130" s="31">
        <f t="shared" si="529"/>
        <v>6096</v>
      </c>
      <c r="N130">
        <v>2</v>
      </c>
      <c r="O130" s="41">
        <f t="shared" si="530"/>
        <v>7056</v>
      </c>
      <c r="P130" s="41"/>
      <c r="Q130" s="108" t="s">
        <v>49</v>
      </c>
      <c r="R130" s="179" t="s">
        <v>92</v>
      </c>
      <c r="S130" s="186" t="str">
        <f t="shared" si="531"/>
        <v>BPD2009</v>
      </c>
      <c r="T130"/>
      <c r="U130"/>
      <c r="V130"/>
      <c r="W130"/>
      <c r="X130"/>
      <c r="Y130" s="85">
        <v>2009</v>
      </c>
      <c r="Z130" s="2">
        <f t="shared" si="532"/>
        <v>48</v>
      </c>
      <c r="AA130" s="2">
        <f t="shared" si="533"/>
        <v>0</v>
      </c>
      <c r="AB130" s="2">
        <f t="shared" si="534"/>
        <v>0</v>
      </c>
      <c r="AC130" s="2">
        <f t="shared" si="535"/>
        <v>0</v>
      </c>
      <c r="AD130" s="2">
        <f t="shared" si="536"/>
        <v>0</v>
      </c>
      <c r="AE130" s="3">
        <f t="shared" si="537"/>
        <v>960</v>
      </c>
      <c r="AF130" s="39"/>
      <c r="AG130" s="37"/>
      <c r="AH130" s="37"/>
      <c r="AI130" s="31"/>
      <c r="AJ130" s="80">
        <f>IF($Q130="C", (G130*$N130),0)</f>
        <v>0</v>
      </c>
      <c r="AK130" s="10">
        <f>IF($Q130="C", (H130*$N130),0)</f>
        <v>0</v>
      </c>
      <c r="AL130" s="10">
        <f>IF($Q130="C", (I130*$N130),0)</f>
        <v>0</v>
      </c>
      <c r="AM130" s="10">
        <f>IF($Q130="C", (J130*$N130),0)</f>
        <v>0</v>
      </c>
      <c r="AN130" s="10">
        <f>IF($Q130="C", (K130*$N130),0)</f>
        <v>0</v>
      </c>
      <c r="AO130" s="2">
        <f>IF($Q130="C", (F130*$N130),0)</f>
        <v>0</v>
      </c>
      <c r="AP130" s="39"/>
    </row>
    <row r="131" spans="1:42" s="242" customFormat="1">
      <c r="A131" s="244" t="s">
        <v>298</v>
      </c>
      <c r="B131" s="242" t="s">
        <v>34</v>
      </c>
      <c r="C131" s="242">
        <v>0</v>
      </c>
      <c r="D131" s="242" t="s">
        <v>9</v>
      </c>
      <c r="E131" s="245">
        <v>0</v>
      </c>
      <c r="F131" s="246">
        <f>E131*C131</f>
        <v>0</v>
      </c>
      <c r="G131" s="243">
        <v>0</v>
      </c>
      <c r="H131" s="243">
        <v>0</v>
      </c>
      <c r="I131" s="243">
        <v>0</v>
      </c>
      <c r="J131" s="243">
        <v>40</v>
      </c>
      <c r="K131" s="247">
        <v>0</v>
      </c>
      <c r="L131" s="242" t="s">
        <v>8</v>
      </c>
      <c r="M131" s="245">
        <f>((Shop*G131)+(M_Tech*H131)+(CMM*I131)+(ENG*J131)+(DES*K131))*N131</f>
        <v>6000</v>
      </c>
      <c r="N131" s="242">
        <v>1</v>
      </c>
      <c r="O131" s="248">
        <f>M131+(N131*F131)</f>
        <v>6000</v>
      </c>
      <c r="P131" s="248"/>
      <c r="Q131" s="249" t="s">
        <v>49</v>
      </c>
      <c r="R131" s="250" t="s">
        <v>92</v>
      </c>
      <c r="S131" s="251" t="str">
        <f t="shared" si="531"/>
        <v>BPD2009</v>
      </c>
      <c r="Y131" s="252">
        <v>2009</v>
      </c>
      <c r="Z131" s="253">
        <f t="shared" si="532"/>
        <v>0</v>
      </c>
      <c r="AA131" s="253">
        <f t="shared" si="533"/>
        <v>0</v>
      </c>
      <c r="AB131" s="253">
        <f t="shared" si="534"/>
        <v>0</v>
      </c>
      <c r="AC131" s="253">
        <f t="shared" si="535"/>
        <v>40</v>
      </c>
      <c r="AD131" s="253">
        <f t="shared" si="536"/>
        <v>0</v>
      </c>
      <c r="AE131" s="254">
        <f>IF($Q131="B", (F131*$N131),0)</f>
        <v>0</v>
      </c>
      <c r="AF131" s="255"/>
      <c r="AG131" s="253"/>
      <c r="AH131" s="253"/>
      <c r="AI131" s="245"/>
      <c r="AJ131" s="256">
        <f t="shared" ref="AJ131" si="544">IF($Q131="C", (G131*$N131),0)</f>
        <v>0</v>
      </c>
      <c r="AK131" s="257">
        <f t="shared" ref="AK131" si="545">IF($Q131="C", (H131*$N131),0)</f>
        <v>0</v>
      </c>
      <c r="AL131" s="257">
        <f t="shared" ref="AL131" si="546">IF($Q131="C", (I131*$N131),0)</f>
        <v>0</v>
      </c>
      <c r="AM131" s="257">
        <f t="shared" ref="AM131" si="547">IF($Q131="C", (J131*$N131),0)</f>
        <v>0</v>
      </c>
      <c r="AN131" s="257">
        <f t="shared" ref="AN131" si="548">IF($Q131="C", (K131*$N131),0)</f>
        <v>0</v>
      </c>
      <c r="AO131" s="253">
        <f>IF($Q131="C", (F131*$N131),0)</f>
        <v>0</v>
      </c>
      <c r="AP131" s="255"/>
    </row>
    <row r="132" spans="1:42" s="38" customFormat="1">
      <c r="A132" s="102" t="s">
        <v>176</v>
      </c>
      <c r="B132" s="40" t="s">
        <v>34</v>
      </c>
      <c r="C132">
        <v>0</v>
      </c>
      <c r="D132" s="40" t="s">
        <v>9</v>
      </c>
      <c r="E132" s="31">
        <v>0</v>
      </c>
      <c r="F132" s="128">
        <f t="shared" si="528"/>
        <v>0</v>
      </c>
      <c r="G132" s="139">
        <v>0</v>
      </c>
      <c r="H132" s="139">
        <v>24</v>
      </c>
      <c r="I132" s="139">
        <v>12</v>
      </c>
      <c r="J132" s="243">
        <v>8</v>
      </c>
      <c r="K132" s="140">
        <v>0</v>
      </c>
      <c r="L132" t="s">
        <v>8</v>
      </c>
      <c r="M132" s="31">
        <f t="shared" si="529"/>
        <v>5532</v>
      </c>
      <c r="N132">
        <v>1</v>
      </c>
      <c r="O132" s="41">
        <f t="shared" si="530"/>
        <v>5532</v>
      </c>
      <c r="P132" s="41"/>
      <c r="Q132" s="108" t="s">
        <v>49</v>
      </c>
      <c r="R132" s="179" t="s">
        <v>92</v>
      </c>
      <c r="S132" s="186" t="str">
        <f t="shared" si="531"/>
        <v>BPD2009</v>
      </c>
      <c r="T132"/>
      <c r="U132"/>
      <c r="V132"/>
      <c r="W132"/>
      <c r="X132"/>
      <c r="Y132" s="85">
        <v>2009</v>
      </c>
      <c r="Z132" s="2">
        <f t="shared" si="532"/>
        <v>0</v>
      </c>
      <c r="AA132" s="2">
        <f t="shared" si="533"/>
        <v>24</v>
      </c>
      <c r="AB132" s="2">
        <f t="shared" si="534"/>
        <v>12</v>
      </c>
      <c r="AC132" s="2">
        <f t="shared" si="535"/>
        <v>8</v>
      </c>
      <c r="AD132" s="2">
        <f t="shared" si="536"/>
        <v>0</v>
      </c>
      <c r="AE132" s="3">
        <f t="shared" si="537"/>
        <v>0</v>
      </c>
      <c r="AF132" s="39"/>
      <c r="AG132" s="37"/>
      <c r="AH132" s="37"/>
      <c r="AI132" s="31"/>
      <c r="AJ132" s="80">
        <f t="shared" ref="AJ132" si="549">IF($Q132="C", (G132*$N132),0)</f>
        <v>0</v>
      </c>
      <c r="AK132" s="10">
        <f t="shared" ref="AK132" si="550">IF($Q132="C", (H132*$N132),0)</f>
        <v>0</v>
      </c>
      <c r="AL132" s="10">
        <f t="shared" ref="AL132" si="551">IF($Q132="C", (I132*$N132),0)</f>
        <v>0</v>
      </c>
      <c r="AM132" s="10">
        <f t="shared" ref="AM132" si="552">IF($Q132="C", (J132*$N132),0)</f>
        <v>0</v>
      </c>
      <c r="AN132" s="10">
        <f t="shared" ref="AN132" si="553">IF($Q132="C", (K132*$N132),0)</f>
        <v>0</v>
      </c>
      <c r="AO132" s="2">
        <f t="shared" ref="AO132" si="554">IF($Q132="C", (F132*$N132),0)</f>
        <v>0</v>
      </c>
      <c r="AP132" s="39"/>
    </row>
    <row r="133" spans="1:42" s="155" customFormat="1">
      <c r="A133" s="103" t="s">
        <v>177</v>
      </c>
      <c r="E133" s="156"/>
      <c r="F133" s="157"/>
      <c r="G133" s="158"/>
      <c r="H133" s="158"/>
      <c r="I133" s="158"/>
      <c r="J133" s="158"/>
      <c r="K133" s="159"/>
      <c r="L133" s="169" t="s">
        <v>79</v>
      </c>
      <c r="M133" s="170">
        <f>SUMIF(Q129:Q132,"B",M129:M132)</f>
        <v>19660</v>
      </c>
      <c r="N133" s="171" t="s">
        <v>79</v>
      </c>
      <c r="O133" s="170"/>
      <c r="P133" s="160"/>
      <c r="Q133" s="161"/>
      <c r="R133" s="181"/>
      <c r="S133" s="188"/>
      <c r="T133"/>
      <c r="U133"/>
      <c r="V133"/>
      <c r="W133"/>
      <c r="X133"/>
      <c r="Y133" s="85"/>
      <c r="Z133" s="163"/>
      <c r="AA133" s="163"/>
      <c r="AB133" s="163"/>
      <c r="AC133" s="163"/>
      <c r="AD133" s="163"/>
      <c r="AE133" s="164"/>
      <c r="AF133" s="165"/>
      <c r="AG133" s="163"/>
      <c r="AH133" s="163"/>
      <c r="AI133" s="31"/>
      <c r="AJ133" s="166"/>
      <c r="AK133" s="163"/>
      <c r="AL133" s="163"/>
      <c r="AM133" s="163"/>
      <c r="AN133" s="163"/>
      <c r="AO133" s="163"/>
      <c r="AP133" s="165"/>
    </row>
    <row r="134" spans="1:42" s="38" customFormat="1">
      <c r="A134" s="102" t="s">
        <v>178</v>
      </c>
      <c r="B134" s="40" t="s">
        <v>34</v>
      </c>
      <c r="C134">
        <v>0</v>
      </c>
      <c r="D134" s="40" t="s">
        <v>9</v>
      </c>
      <c r="E134" s="31">
        <v>0</v>
      </c>
      <c r="F134" s="128">
        <f t="shared" ref="F134:F138" si="555">E134*C134</f>
        <v>0</v>
      </c>
      <c r="G134" s="139">
        <v>0</v>
      </c>
      <c r="H134" s="139">
        <v>8</v>
      </c>
      <c r="I134" s="139">
        <v>0</v>
      </c>
      <c r="J134" s="139">
        <v>4</v>
      </c>
      <c r="K134" s="140">
        <v>0</v>
      </c>
      <c r="L134" t="s">
        <v>8</v>
      </c>
      <c r="M134" s="31">
        <f t="shared" ref="M134:M138" si="556">((Shop*G134)+(M_Tech*H134)+(CMM*I134)+(ENG*J134)+(DES*K134))*N134</f>
        <v>0</v>
      </c>
      <c r="N134">
        <v>0</v>
      </c>
      <c r="O134" s="41">
        <f t="shared" ref="O134:O138" si="557">M134+(N134*F134)</f>
        <v>0</v>
      </c>
      <c r="P134" s="41"/>
      <c r="Q134" s="108" t="s">
        <v>49</v>
      </c>
      <c r="R134" s="179" t="s">
        <v>92</v>
      </c>
      <c r="S134" s="186" t="str">
        <f t="shared" ref="S134:S138" si="558">CONCATENATE(Q134,R134,Y134)</f>
        <v>BPD2009</v>
      </c>
      <c r="T134"/>
      <c r="U134"/>
      <c r="V134"/>
      <c r="W134"/>
      <c r="X134"/>
      <c r="Y134" s="85">
        <v>2009</v>
      </c>
      <c r="Z134" s="2">
        <f t="shared" ref="Z134:Z138" si="559">IF($Q134="B", (G134*$N134),0)</f>
        <v>0</v>
      </c>
      <c r="AA134" s="2">
        <f t="shared" ref="AA134:AA138" si="560">IF($Q134="B", (H134*$N134),0)</f>
        <v>0</v>
      </c>
      <c r="AB134" s="2">
        <f t="shared" ref="AB134:AB138" si="561">IF($Q134="B", (I134*$N134),0)</f>
        <v>0</v>
      </c>
      <c r="AC134" s="2">
        <f t="shared" ref="AC134:AC138" si="562">IF($Q134="B", (J134*$N134),0)</f>
        <v>0</v>
      </c>
      <c r="AD134" s="2">
        <f t="shared" ref="AD134:AD138" si="563">IF($Q134="B", (K134*$N134),0)</f>
        <v>0</v>
      </c>
      <c r="AE134" s="3">
        <f t="shared" ref="AE134:AE138" si="564">IF($Q134="B", (F134*$N134),0)</f>
        <v>0</v>
      </c>
      <c r="AF134" s="39"/>
      <c r="AG134" s="37"/>
      <c r="AH134" s="37"/>
      <c r="AI134" s="31"/>
      <c r="AJ134" s="80">
        <f t="shared" ref="AJ134" si="565">IF($Q134="C", (G134*$N134),0)</f>
        <v>0</v>
      </c>
      <c r="AK134" s="10">
        <f t="shared" ref="AK134" si="566">IF($Q134="C", (H134*$N134),0)</f>
        <v>0</v>
      </c>
      <c r="AL134" s="10">
        <f t="shared" ref="AL134" si="567">IF($Q134="C", (I134*$N134),0)</f>
        <v>0</v>
      </c>
      <c r="AM134" s="10">
        <f t="shared" ref="AM134" si="568">IF($Q134="C", (J134*$N134),0)</f>
        <v>0</v>
      </c>
      <c r="AN134" s="10">
        <f t="shared" ref="AN134" si="569">IF($Q134="C", (K134*$N134),0)</f>
        <v>0</v>
      </c>
      <c r="AO134" s="2">
        <f t="shared" ref="AO134" si="570">IF($Q134="C", (F134*$N134),0)</f>
        <v>0</v>
      </c>
      <c r="AP134" s="39"/>
    </row>
    <row r="135" spans="1:42" s="38" customFormat="1">
      <c r="A135" s="102" t="s">
        <v>179</v>
      </c>
      <c r="B135" s="40" t="s">
        <v>34</v>
      </c>
      <c r="C135">
        <v>0</v>
      </c>
      <c r="D135" s="40" t="s">
        <v>9</v>
      </c>
      <c r="E135" s="31">
        <v>0</v>
      </c>
      <c r="F135" s="128">
        <f t="shared" si="555"/>
        <v>0</v>
      </c>
      <c r="G135" s="139">
        <v>0</v>
      </c>
      <c r="H135" s="139">
        <v>8</v>
      </c>
      <c r="I135" s="139">
        <v>0</v>
      </c>
      <c r="J135" s="139">
        <v>4</v>
      </c>
      <c r="K135" s="140">
        <v>0</v>
      </c>
      <c r="L135" t="s">
        <v>8</v>
      </c>
      <c r="M135" s="31">
        <f t="shared" si="556"/>
        <v>0</v>
      </c>
      <c r="N135">
        <v>0</v>
      </c>
      <c r="O135" s="41">
        <f t="shared" si="557"/>
        <v>0</v>
      </c>
      <c r="P135" s="41"/>
      <c r="Q135" s="108" t="s">
        <v>49</v>
      </c>
      <c r="R135" s="179" t="s">
        <v>92</v>
      </c>
      <c r="S135" s="186" t="str">
        <f t="shared" si="558"/>
        <v>BPD2009</v>
      </c>
      <c r="T135"/>
      <c r="U135"/>
      <c r="V135"/>
      <c r="W135"/>
      <c r="X135"/>
      <c r="Y135" s="85">
        <v>2009</v>
      </c>
      <c r="Z135" s="2">
        <f t="shared" si="559"/>
        <v>0</v>
      </c>
      <c r="AA135" s="2">
        <f t="shared" si="560"/>
        <v>0</v>
      </c>
      <c r="AB135" s="2">
        <f t="shared" si="561"/>
        <v>0</v>
      </c>
      <c r="AC135" s="2">
        <f t="shared" si="562"/>
        <v>0</v>
      </c>
      <c r="AD135" s="2">
        <f t="shared" si="563"/>
        <v>0</v>
      </c>
      <c r="AE135" s="3">
        <f t="shared" si="564"/>
        <v>0</v>
      </c>
      <c r="AF135" s="39"/>
      <c r="AG135" s="37"/>
      <c r="AH135" s="37"/>
      <c r="AI135" s="31"/>
      <c r="AJ135" s="80">
        <f>IF($Q135="C", (G135*$N135),0)</f>
        <v>0</v>
      </c>
      <c r="AK135" s="10">
        <f>IF($Q135="C", (H135*$N135),0)</f>
        <v>0</v>
      </c>
      <c r="AL135" s="10">
        <f>IF($Q135="C", (I135*$N135),0)</f>
        <v>0</v>
      </c>
      <c r="AM135" s="10">
        <f>IF($Q135="C", (J135*$N135),0)</f>
        <v>0</v>
      </c>
      <c r="AN135" s="10">
        <f>IF($Q135="C", (K135*$N135),0)</f>
        <v>0</v>
      </c>
      <c r="AO135" s="2">
        <f>IF($Q135="C", (F135*$N135),0)</f>
        <v>0</v>
      </c>
      <c r="AP135" s="39"/>
    </row>
    <row r="136" spans="1:42" s="38" customFormat="1">
      <c r="A136" s="102" t="s">
        <v>180</v>
      </c>
      <c r="B136" s="40" t="s">
        <v>34</v>
      </c>
      <c r="C136">
        <v>0</v>
      </c>
      <c r="D136" s="40" t="s">
        <v>9</v>
      </c>
      <c r="E136" s="31">
        <v>0</v>
      </c>
      <c r="F136" s="128">
        <f t="shared" si="555"/>
        <v>0</v>
      </c>
      <c r="G136" s="139">
        <v>0</v>
      </c>
      <c r="H136" s="243">
        <v>32</v>
      </c>
      <c r="I136" s="139">
        <v>0</v>
      </c>
      <c r="J136" s="168">
        <v>8</v>
      </c>
      <c r="K136" s="140">
        <v>0</v>
      </c>
      <c r="L136" t="s">
        <v>8</v>
      </c>
      <c r="M136" s="31">
        <f t="shared" si="556"/>
        <v>9888</v>
      </c>
      <c r="N136">
        <v>2</v>
      </c>
      <c r="O136" s="41">
        <f t="shared" si="557"/>
        <v>9888</v>
      </c>
      <c r="P136" s="41"/>
      <c r="Q136" s="108" t="s">
        <v>49</v>
      </c>
      <c r="R136" s="179" t="s">
        <v>92</v>
      </c>
      <c r="S136" s="186" t="str">
        <f t="shared" si="558"/>
        <v>BPD2009</v>
      </c>
      <c r="T136"/>
      <c r="U136"/>
      <c r="V136"/>
      <c r="W136"/>
      <c r="X136"/>
      <c r="Y136" s="85">
        <v>2009</v>
      </c>
      <c r="Z136" s="2">
        <f t="shared" si="559"/>
        <v>0</v>
      </c>
      <c r="AA136" s="2">
        <f t="shared" si="560"/>
        <v>64</v>
      </c>
      <c r="AB136" s="2">
        <f t="shared" si="561"/>
        <v>0</v>
      </c>
      <c r="AC136" s="2">
        <f t="shared" si="562"/>
        <v>16</v>
      </c>
      <c r="AD136" s="2">
        <f t="shared" si="563"/>
        <v>0</v>
      </c>
      <c r="AE136" s="3">
        <f t="shared" si="564"/>
        <v>0</v>
      </c>
      <c r="AF136" s="39"/>
      <c r="AG136" s="37"/>
      <c r="AH136" s="37"/>
      <c r="AI136" s="31"/>
      <c r="AJ136" s="80">
        <f t="shared" ref="AJ136:AJ139" si="571">IF($Q136="C", (G136*$N136),0)</f>
        <v>0</v>
      </c>
      <c r="AK136" s="10">
        <f t="shared" ref="AK136:AK139" si="572">IF($Q136="C", (H136*$N136),0)</f>
        <v>0</v>
      </c>
      <c r="AL136" s="10">
        <f t="shared" ref="AL136:AL139" si="573">IF($Q136="C", (I136*$N136),0)</f>
        <v>0</v>
      </c>
      <c r="AM136" s="10">
        <f t="shared" ref="AM136:AM139" si="574">IF($Q136="C", (J136*$N136),0)</f>
        <v>0</v>
      </c>
      <c r="AN136" s="10">
        <f t="shared" ref="AN136:AN139" si="575">IF($Q136="C", (K136*$N136),0)</f>
        <v>0</v>
      </c>
      <c r="AO136" s="2">
        <f t="shared" ref="AO136:AO139" si="576">IF($Q136="C", (F136*$N136),0)</f>
        <v>0</v>
      </c>
      <c r="AP136" s="39"/>
    </row>
    <row r="137" spans="1:42" s="38" customFormat="1">
      <c r="A137" s="102" t="s">
        <v>181</v>
      </c>
      <c r="B137" s="40" t="s">
        <v>34</v>
      </c>
      <c r="C137">
        <v>0</v>
      </c>
      <c r="D137" s="40" t="s">
        <v>9</v>
      </c>
      <c r="E137" s="31">
        <v>0</v>
      </c>
      <c r="F137" s="128">
        <f t="shared" si="555"/>
        <v>0</v>
      </c>
      <c r="G137" s="139">
        <v>0</v>
      </c>
      <c r="H137" s="243">
        <v>8</v>
      </c>
      <c r="I137" s="243">
        <v>40</v>
      </c>
      <c r="J137" s="243">
        <v>4</v>
      </c>
      <c r="K137" s="140">
        <v>0</v>
      </c>
      <c r="L137" t="s">
        <v>8</v>
      </c>
      <c r="M137" s="31">
        <f t="shared" si="556"/>
        <v>13232</v>
      </c>
      <c r="N137">
        <v>2</v>
      </c>
      <c r="O137" s="41">
        <f t="shared" si="557"/>
        <v>13232</v>
      </c>
      <c r="P137" s="41"/>
      <c r="Q137" s="108" t="s">
        <v>49</v>
      </c>
      <c r="R137" s="179" t="s">
        <v>92</v>
      </c>
      <c r="S137" s="186" t="str">
        <f t="shared" si="558"/>
        <v>BPD2009</v>
      </c>
      <c r="T137"/>
      <c r="U137"/>
      <c r="V137"/>
      <c r="W137"/>
      <c r="X137"/>
      <c r="Y137" s="85">
        <v>2009</v>
      </c>
      <c r="Z137" s="2">
        <f t="shared" si="559"/>
        <v>0</v>
      </c>
      <c r="AA137" s="2">
        <f t="shared" si="560"/>
        <v>16</v>
      </c>
      <c r="AB137" s="2">
        <f t="shared" si="561"/>
        <v>80</v>
      </c>
      <c r="AC137" s="2">
        <f t="shared" si="562"/>
        <v>8</v>
      </c>
      <c r="AD137" s="2">
        <f t="shared" si="563"/>
        <v>0</v>
      </c>
      <c r="AE137" s="3">
        <f t="shared" si="564"/>
        <v>0</v>
      </c>
      <c r="AF137" s="39"/>
      <c r="AG137" s="37"/>
      <c r="AH137" s="37"/>
      <c r="AI137" s="31"/>
      <c r="AJ137" s="80">
        <f t="shared" si="571"/>
        <v>0</v>
      </c>
      <c r="AK137" s="10">
        <f t="shared" si="572"/>
        <v>0</v>
      </c>
      <c r="AL137" s="10">
        <f t="shared" si="573"/>
        <v>0</v>
      </c>
      <c r="AM137" s="10">
        <f t="shared" si="574"/>
        <v>0</v>
      </c>
      <c r="AN137" s="10">
        <f t="shared" si="575"/>
        <v>0</v>
      </c>
      <c r="AO137" s="2">
        <f t="shared" si="576"/>
        <v>0</v>
      </c>
      <c r="AP137" s="39"/>
    </row>
    <row r="138" spans="1:42" s="38" customFormat="1">
      <c r="A138" s="102" t="s">
        <v>182</v>
      </c>
      <c r="B138" s="40" t="s">
        <v>34</v>
      </c>
      <c r="C138">
        <v>0</v>
      </c>
      <c r="D138" s="40" t="s">
        <v>9</v>
      </c>
      <c r="E138" s="31">
        <v>0</v>
      </c>
      <c r="F138" s="128">
        <f t="shared" si="555"/>
        <v>0</v>
      </c>
      <c r="G138" s="139">
        <v>0</v>
      </c>
      <c r="H138" s="243">
        <v>16</v>
      </c>
      <c r="I138" s="243">
        <v>40</v>
      </c>
      <c r="J138" s="243">
        <v>4</v>
      </c>
      <c r="K138" s="140">
        <v>0</v>
      </c>
      <c r="L138" t="s">
        <v>8</v>
      </c>
      <c r="M138" s="31">
        <f t="shared" si="556"/>
        <v>15104</v>
      </c>
      <c r="N138">
        <v>2</v>
      </c>
      <c r="O138" s="41">
        <f t="shared" si="557"/>
        <v>15104</v>
      </c>
      <c r="P138" s="41"/>
      <c r="Q138" s="108" t="s">
        <v>50</v>
      </c>
      <c r="R138" s="179" t="s">
        <v>92</v>
      </c>
      <c r="S138" s="186" t="str">
        <f t="shared" si="558"/>
        <v>CPD2009</v>
      </c>
      <c r="T138"/>
      <c r="U138"/>
      <c r="V138"/>
      <c r="W138"/>
      <c r="X138"/>
      <c r="Y138" s="85">
        <v>2009</v>
      </c>
      <c r="Z138" s="2">
        <f t="shared" si="559"/>
        <v>0</v>
      </c>
      <c r="AA138" s="2">
        <f t="shared" si="560"/>
        <v>0</v>
      </c>
      <c r="AB138" s="2">
        <f t="shared" si="561"/>
        <v>0</v>
      </c>
      <c r="AC138" s="2">
        <f t="shared" si="562"/>
        <v>0</v>
      </c>
      <c r="AD138" s="2">
        <f t="shared" si="563"/>
        <v>0</v>
      </c>
      <c r="AE138" s="3">
        <f t="shared" si="564"/>
        <v>0</v>
      </c>
      <c r="AF138" s="39"/>
      <c r="AG138" s="37"/>
      <c r="AH138" s="37"/>
      <c r="AI138" s="31"/>
      <c r="AJ138" s="80">
        <f t="shared" si="571"/>
        <v>0</v>
      </c>
      <c r="AK138" s="10">
        <f t="shared" si="572"/>
        <v>32</v>
      </c>
      <c r="AL138" s="10">
        <f t="shared" si="573"/>
        <v>80</v>
      </c>
      <c r="AM138" s="10">
        <f t="shared" si="574"/>
        <v>8</v>
      </c>
      <c r="AN138" s="10">
        <f t="shared" si="575"/>
        <v>0</v>
      </c>
      <c r="AO138" s="2">
        <f t="shared" si="576"/>
        <v>0</v>
      </c>
      <c r="AP138" s="39"/>
    </row>
    <row r="139" spans="1:42" s="38" customFormat="1">
      <c r="A139" s="102" t="s">
        <v>178</v>
      </c>
      <c r="B139" s="40" t="s">
        <v>85</v>
      </c>
      <c r="C139">
        <v>0</v>
      </c>
      <c r="D139" s="40" t="s">
        <v>9</v>
      </c>
      <c r="E139" s="31">
        <v>0</v>
      </c>
      <c r="F139" s="128">
        <f t="shared" ref="F139:F143" si="577">E139*C139</f>
        <v>0</v>
      </c>
      <c r="G139" s="139">
        <v>0</v>
      </c>
      <c r="H139" s="139">
        <v>8</v>
      </c>
      <c r="I139" s="139">
        <v>0</v>
      </c>
      <c r="J139" s="139">
        <v>4</v>
      </c>
      <c r="K139" s="140">
        <v>0</v>
      </c>
      <c r="L139" t="s">
        <v>8</v>
      </c>
      <c r="M139" s="31">
        <f t="shared" ref="M139:M143" si="578">((Shop*G139)+(M_Tech*H139)+(CMM*I139)+(ENG*J139)+(DES*K139))*N139</f>
        <v>0</v>
      </c>
      <c r="N139">
        <v>0</v>
      </c>
      <c r="O139" s="41">
        <f t="shared" ref="O139:O143" si="579">M139+(N139*F139)</f>
        <v>0</v>
      </c>
      <c r="P139" s="41"/>
      <c r="Q139" s="108" t="s">
        <v>50</v>
      </c>
      <c r="R139" s="179" t="s">
        <v>92</v>
      </c>
      <c r="S139" s="186" t="str">
        <f t="shared" ref="S139:S143" si="580">CONCATENATE(Q139,R139,Y139)</f>
        <v>CPD2009</v>
      </c>
      <c r="T139"/>
      <c r="U139"/>
      <c r="V139"/>
      <c r="W139"/>
      <c r="X139"/>
      <c r="Y139" s="85">
        <v>2009</v>
      </c>
      <c r="Z139" s="2">
        <f t="shared" ref="Z139:Z143" si="581">IF($Q139="B", (G139*$N139),0)</f>
        <v>0</v>
      </c>
      <c r="AA139" s="2">
        <f t="shared" ref="AA139:AA143" si="582">IF($Q139="B", (H139*$N139),0)</f>
        <v>0</v>
      </c>
      <c r="AB139" s="2">
        <f t="shared" ref="AB139:AB143" si="583">IF($Q139="B", (I139*$N139),0)</f>
        <v>0</v>
      </c>
      <c r="AC139" s="2">
        <f t="shared" ref="AC139:AC143" si="584">IF($Q139="B", (J139*$N139),0)</f>
        <v>0</v>
      </c>
      <c r="AD139" s="2">
        <f t="shared" ref="AD139:AD143" si="585">IF($Q139="B", (K139*$N139),0)</f>
        <v>0</v>
      </c>
      <c r="AE139" s="3">
        <f t="shared" ref="AE139:AE143" si="586">IF($Q139="B", (F139*$N139),0)</f>
        <v>0</v>
      </c>
      <c r="AF139" s="39"/>
      <c r="AG139" s="37"/>
      <c r="AH139" s="37"/>
      <c r="AI139" s="31"/>
      <c r="AJ139" s="80">
        <f t="shared" si="571"/>
        <v>0</v>
      </c>
      <c r="AK139" s="10">
        <f t="shared" si="572"/>
        <v>0</v>
      </c>
      <c r="AL139" s="10">
        <f t="shared" si="573"/>
        <v>0</v>
      </c>
      <c r="AM139" s="10">
        <f t="shared" si="574"/>
        <v>0</v>
      </c>
      <c r="AN139" s="10">
        <f t="shared" si="575"/>
        <v>0</v>
      </c>
      <c r="AO139" s="2">
        <f t="shared" si="576"/>
        <v>0</v>
      </c>
      <c r="AP139" s="39"/>
    </row>
    <row r="140" spans="1:42" s="38" customFormat="1">
      <c r="A140" s="102" t="s">
        <v>179</v>
      </c>
      <c r="B140" s="40" t="s">
        <v>85</v>
      </c>
      <c r="C140">
        <v>0</v>
      </c>
      <c r="D140" s="40" t="s">
        <v>9</v>
      </c>
      <c r="E140" s="31">
        <v>0</v>
      </c>
      <c r="F140" s="128">
        <f t="shared" si="577"/>
        <v>0</v>
      </c>
      <c r="G140" s="139">
        <v>0</v>
      </c>
      <c r="H140" s="139">
        <v>8</v>
      </c>
      <c r="I140" s="139">
        <v>0</v>
      </c>
      <c r="J140" s="139">
        <v>4</v>
      </c>
      <c r="K140" s="140">
        <v>0</v>
      </c>
      <c r="L140" t="s">
        <v>8</v>
      </c>
      <c r="M140" s="31">
        <f t="shared" si="578"/>
        <v>0</v>
      </c>
      <c r="N140">
        <v>0</v>
      </c>
      <c r="O140" s="41">
        <f t="shared" si="579"/>
        <v>0</v>
      </c>
      <c r="P140" s="41"/>
      <c r="Q140" s="108" t="s">
        <v>50</v>
      </c>
      <c r="R140" s="179" t="s">
        <v>92</v>
      </c>
      <c r="S140" s="186" t="str">
        <f t="shared" si="580"/>
        <v>CPD2009</v>
      </c>
      <c r="T140"/>
      <c r="U140"/>
      <c r="V140"/>
      <c r="W140"/>
      <c r="X140"/>
      <c r="Y140" s="85">
        <v>2009</v>
      </c>
      <c r="Z140" s="2">
        <f t="shared" si="581"/>
        <v>0</v>
      </c>
      <c r="AA140" s="2">
        <f t="shared" si="582"/>
        <v>0</v>
      </c>
      <c r="AB140" s="2">
        <f t="shared" si="583"/>
        <v>0</v>
      </c>
      <c r="AC140" s="2">
        <f t="shared" si="584"/>
        <v>0</v>
      </c>
      <c r="AD140" s="2">
        <f t="shared" si="585"/>
        <v>0</v>
      </c>
      <c r="AE140" s="3">
        <f t="shared" si="586"/>
        <v>0</v>
      </c>
      <c r="AF140" s="39"/>
      <c r="AG140" s="37"/>
      <c r="AH140" s="37"/>
      <c r="AI140" s="31"/>
      <c r="AJ140" s="80">
        <f>IF($Q140="C", (G140*$N140),0)</f>
        <v>0</v>
      </c>
      <c r="AK140" s="10">
        <f>IF($Q140="C", (H140*$N140),0)</f>
        <v>0</v>
      </c>
      <c r="AL140" s="10">
        <f>IF($Q140="C", (I140*$N140),0)</f>
        <v>0</v>
      </c>
      <c r="AM140" s="10">
        <f>IF($Q140="C", (J140*$N140),0)</f>
        <v>0</v>
      </c>
      <c r="AN140" s="10">
        <f>IF($Q140="C", (K140*$N140),0)</f>
        <v>0</v>
      </c>
      <c r="AO140" s="2">
        <f>IF($Q140="C", (F140*$N140),0)</f>
        <v>0</v>
      </c>
      <c r="AP140" s="39"/>
    </row>
    <row r="141" spans="1:42" s="38" customFormat="1">
      <c r="A141" s="102" t="s">
        <v>180</v>
      </c>
      <c r="B141" s="40" t="s">
        <v>85</v>
      </c>
      <c r="C141">
        <v>0</v>
      </c>
      <c r="D141" s="40" t="s">
        <v>9</v>
      </c>
      <c r="E141" s="31">
        <v>0</v>
      </c>
      <c r="F141" s="128">
        <f t="shared" si="577"/>
        <v>0</v>
      </c>
      <c r="G141" s="139">
        <v>0</v>
      </c>
      <c r="H141" s="243">
        <v>32</v>
      </c>
      <c r="I141" s="139">
        <v>0</v>
      </c>
      <c r="J141" s="168">
        <v>8</v>
      </c>
      <c r="K141" s="140">
        <v>0</v>
      </c>
      <c r="L141" t="s">
        <v>8</v>
      </c>
      <c r="M141" s="31">
        <f t="shared" si="578"/>
        <v>4944</v>
      </c>
      <c r="N141">
        <v>1</v>
      </c>
      <c r="O141" s="41">
        <f t="shared" si="579"/>
        <v>4944</v>
      </c>
      <c r="P141" s="41"/>
      <c r="Q141" s="108" t="s">
        <v>50</v>
      </c>
      <c r="R141" s="179" t="s">
        <v>92</v>
      </c>
      <c r="S141" s="186" t="str">
        <f t="shared" si="580"/>
        <v>CPD2009</v>
      </c>
      <c r="T141"/>
      <c r="U141"/>
      <c r="V141"/>
      <c r="W141"/>
      <c r="X141"/>
      <c r="Y141" s="85">
        <v>2009</v>
      </c>
      <c r="Z141" s="2">
        <f t="shared" si="581"/>
        <v>0</v>
      </c>
      <c r="AA141" s="2">
        <f t="shared" si="582"/>
        <v>0</v>
      </c>
      <c r="AB141" s="2">
        <f t="shared" si="583"/>
        <v>0</v>
      </c>
      <c r="AC141" s="2">
        <f t="shared" si="584"/>
        <v>0</v>
      </c>
      <c r="AD141" s="2">
        <f t="shared" si="585"/>
        <v>0</v>
      </c>
      <c r="AE141" s="3">
        <f t="shared" si="586"/>
        <v>0</v>
      </c>
      <c r="AF141" s="39"/>
      <c r="AG141" s="37"/>
      <c r="AH141" s="37"/>
      <c r="AI141" s="31"/>
      <c r="AJ141" s="80">
        <f t="shared" ref="AJ141:AJ143" si="587">IF($Q141="C", (G141*$N141),0)</f>
        <v>0</v>
      </c>
      <c r="AK141" s="10">
        <f t="shared" ref="AK141:AK143" si="588">IF($Q141="C", (H141*$N141),0)</f>
        <v>32</v>
      </c>
      <c r="AL141" s="10">
        <f t="shared" ref="AL141:AL143" si="589">IF($Q141="C", (I141*$N141),0)</f>
        <v>0</v>
      </c>
      <c r="AM141" s="10">
        <f t="shared" ref="AM141:AM143" si="590">IF($Q141="C", (J141*$N141),0)</f>
        <v>8</v>
      </c>
      <c r="AN141" s="10">
        <f t="shared" ref="AN141:AN143" si="591">IF($Q141="C", (K141*$N141),0)</f>
        <v>0</v>
      </c>
      <c r="AO141" s="2">
        <f t="shared" ref="AO141:AO143" si="592">IF($Q141="C", (F141*$N141),0)</f>
        <v>0</v>
      </c>
      <c r="AP141" s="39"/>
    </row>
    <row r="142" spans="1:42" s="38" customFormat="1">
      <c r="A142" s="102" t="s">
        <v>181</v>
      </c>
      <c r="B142" s="40" t="s">
        <v>85</v>
      </c>
      <c r="C142">
        <v>0</v>
      </c>
      <c r="D142" s="40" t="s">
        <v>9</v>
      </c>
      <c r="E142" s="31">
        <v>0</v>
      </c>
      <c r="F142" s="128">
        <f t="shared" si="577"/>
        <v>0</v>
      </c>
      <c r="G142" s="139">
        <v>0</v>
      </c>
      <c r="H142" s="139">
        <v>4</v>
      </c>
      <c r="I142" s="139">
        <v>16</v>
      </c>
      <c r="J142" s="139">
        <v>4</v>
      </c>
      <c r="K142" s="140">
        <v>0</v>
      </c>
      <c r="L142" t="s">
        <v>8</v>
      </c>
      <c r="M142" s="31">
        <f t="shared" si="578"/>
        <v>3100</v>
      </c>
      <c r="N142">
        <v>1</v>
      </c>
      <c r="O142" s="41">
        <f t="shared" si="579"/>
        <v>3100</v>
      </c>
      <c r="P142" s="41"/>
      <c r="Q142" s="108" t="s">
        <v>50</v>
      </c>
      <c r="R142" s="179" t="s">
        <v>92</v>
      </c>
      <c r="S142" s="186" t="str">
        <f t="shared" si="580"/>
        <v>CPD2009</v>
      </c>
      <c r="T142"/>
      <c r="U142"/>
      <c r="V142"/>
      <c r="W142"/>
      <c r="X142"/>
      <c r="Y142" s="85">
        <v>2009</v>
      </c>
      <c r="Z142" s="2">
        <f t="shared" si="581"/>
        <v>0</v>
      </c>
      <c r="AA142" s="2">
        <f t="shared" si="582"/>
        <v>0</v>
      </c>
      <c r="AB142" s="2">
        <f t="shared" si="583"/>
        <v>0</v>
      </c>
      <c r="AC142" s="2">
        <f t="shared" si="584"/>
        <v>0</v>
      </c>
      <c r="AD142" s="2">
        <f t="shared" si="585"/>
        <v>0</v>
      </c>
      <c r="AE142" s="3">
        <f t="shared" si="586"/>
        <v>0</v>
      </c>
      <c r="AF142" s="39"/>
      <c r="AG142" s="37"/>
      <c r="AH142" s="37"/>
      <c r="AI142" s="31"/>
      <c r="AJ142" s="80">
        <f t="shared" si="587"/>
        <v>0</v>
      </c>
      <c r="AK142" s="10">
        <f t="shared" si="588"/>
        <v>4</v>
      </c>
      <c r="AL142" s="10">
        <f t="shared" si="589"/>
        <v>16</v>
      </c>
      <c r="AM142" s="10">
        <f t="shared" si="590"/>
        <v>4</v>
      </c>
      <c r="AN142" s="10">
        <f t="shared" si="591"/>
        <v>0</v>
      </c>
      <c r="AO142" s="2">
        <f t="shared" si="592"/>
        <v>0</v>
      </c>
      <c r="AP142" s="39"/>
    </row>
    <row r="143" spans="1:42" s="38" customFormat="1">
      <c r="A143" s="102" t="s">
        <v>182</v>
      </c>
      <c r="B143" s="40" t="s">
        <v>85</v>
      </c>
      <c r="C143">
        <v>0</v>
      </c>
      <c r="D143" s="40" t="s">
        <v>9</v>
      </c>
      <c r="E143" s="31">
        <v>0</v>
      </c>
      <c r="F143" s="128">
        <f t="shared" si="577"/>
        <v>0</v>
      </c>
      <c r="G143" s="139">
        <v>0</v>
      </c>
      <c r="H143" s="139">
        <v>8</v>
      </c>
      <c r="I143" s="139">
        <v>16</v>
      </c>
      <c r="J143" s="139">
        <v>4</v>
      </c>
      <c r="K143" s="140">
        <v>0</v>
      </c>
      <c r="L143" t="s">
        <v>8</v>
      </c>
      <c r="M143" s="31">
        <f t="shared" si="578"/>
        <v>3568</v>
      </c>
      <c r="N143">
        <v>1</v>
      </c>
      <c r="O143" s="41">
        <f t="shared" si="579"/>
        <v>3568</v>
      </c>
      <c r="P143" s="41"/>
      <c r="Q143" s="108" t="s">
        <v>50</v>
      </c>
      <c r="R143" s="179" t="s">
        <v>92</v>
      </c>
      <c r="S143" s="186" t="str">
        <f t="shared" si="580"/>
        <v>CPD2009</v>
      </c>
      <c r="T143"/>
      <c r="U143"/>
      <c r="V143"/>
      <c r="W143"/>
      <c r="X143"/>
      <c r="Y143" s="85">
        <v>2009</v>
      </c>
      <c r="Z143" s="2">
        <f t="shared" si="581"/>
        <v>0</v>
      </c>
      <c r="AA143" s="2">
        <f t="shared" si="582"/>
        <v>0</v>
      </c>
      <c r="AB143" s="2">
        <f t="shared" si="583"/>
        <v>0</v>
      </c>
      <c r="AC143" s="2">
        <f t="shared" si="584"/>
        <v>0</v>
      </c>
      <c r="AD143" s="2">
        <f t="shared" si="585"/>
        <v>0</v>
      </c>
      <c r="AE143" s="3">
        <f t="shared" si="586"/>
        <v>0</v>
      </c>
      <c r="AF143" s="39"/>
      <c r="AG143" s="37"/>
      <c r="AH143" s="37"/>
      <c r="AI143" s="31"/>
      <c r="AJ143" s="80">
        <f t="shared" si="587"/>
        <v>0</v>
      </c>
      <c r="AK143" s="10">
        <f t="shared" si="588"/>
        <v>8</v>
      </c>
      <c r="AL143" s="10">
        <f t="shared" si="589"/>
        <v>16</v>
      </c>
      <c r="AM143" s="10">
        <f t="shared" si="590"/>
        <v>4</v>
      </c>
      <c r="AN143" s="10">
        <f t="shared" si="591"/>
        <v>0</v>
      </c>
      <c r="AO143" s="2">
        <f t="shared" si="592"/>
        <v>0</v>
      </c>
      <c r="AP143" s="39"/>
    </row>
    <row r="144" spans="1:42">
      <c r="A144" s="43" t="s">
        <v>315</v>
      </c>
      <c r="B144" s="7"/>
      <c r="C144" s="7"/>
      <c r="D144" s="7"/>
      <c r="E144" s="9"/>
      <c r="F144" s="8"/>
      <c r="G144" s="141"/>
      <c r="H144" s="141"/>
      <c r="I144" s="141"/>
      <c r="J144" s="141"/>
      <c r="K144" s="142"/>
      <c r="L144" s="7"/>
      <c r="M144" s="9">
        <f>SUMIF(Q72:Q143,"B",M72:M143)</f>
        <v>133850</v>
      </c>
      <c r="N144" s="273" t="s">
        <v>78</v>
      </c>
      <c r="O144" s="274"/>
      <c r="P144" s="275"/>
      <c r="Q144" s="109"/>
      <c r="R144" s="182"/>
      <c r="S144" s="187"/>
      <c r="T144" s="7"/>
      <c r="U144" s="7"/>
      <c r="V144" s="7"/>
      <c r="W144" s="7"/>
      <c r="X144" s="7"/>
      <c r="Y144" s="86"/>
      <c r="Z144" s="11">
        <f>SUM(Z129:Z143)</f>
        <v>64</v>
      </c>
      <c r="AA144" s="11">
        <f t="shared" ref="AA144:AD144" si="593">SUM(AA129:AA143)</f>
        <v>104</v>
      </c>
      <c r="AB144" s="11">
        <f t="shared" si="593"/>
        <v>92</v>
      </c>
      <c r="AC144" s="11">
        <f t="shared" si="593"/>
        <v>72</v>
      </c>
      <c r="AD144" s="11">
        <f t="shared" si="593"/>
        <v>0</v>
      </c>
      <c r="AE144" s="11"/>
      <c r="AF144" s="8">
        <f>SUM(AE129:AE143)</f>
        <v>3360</v>
      </c>
      <c r="AG144" s="9">
        <f>(Shop*Z144)+M_Tech*AA144+CMM*AB144+ENG*AC144+DES*AD144+AF144</f>
        <v>46140</v>
      </c>
      <c r="AH144" s="9"/>
      <c r="AI144" s="8">
        <f>Shop*AJ144+M_Tech*AK144+CMM*AL144+ENG*AM144+DES*AN144+AP144</f>
        <v>26716</v>
      </c>
      <c r="AJ144" s="11">
        <f>SUM(AJ129:AJ143)</f>
        <v>0</v>
      </c>
      <c r="AK144" s="11">
        <f t="shared" ref="AK144" si="594">SUM(AK129:AK143)</f>
        <v>76</v>
      </c>
      <c r="AL144" s="11">
        <f t="shared" ref="AL144" si="595">SUM(AL129:AL143)</f>
        <v>112</v>
      </c>
      <c r="AM144" s="11">
        <f t="shared" ref="AM144" si="596">SUM(AM129:AM143)</f>
        <v>24</v>
      </c>
      <c r="AN144" s="11">
        <f t="shared" ref="AN144" si="597">SUM(AN129:AN143)</f>
        <v>0</v>
      </c>
      <c r="AO144" s="11"/>
      <c r="AP144" s="8">
        <f>SUM(AO129:AO143)</f>
        <v>0</v>
      </c>
    </row>
    <row r="145" spans="1:42">
      <c r="F145" s="128"/>
      <c r="G145" s="139"/>
      <c r="H145" s="139"/>
      <c r="I145" s="139"/>
      <c r="J145" s="139"/>
      <c r="K145" s="140"/>
      <c r="L145" s="169" t="s">
        <v>79</v>
      </c>
      <c r="M145" s="170">
        <f>SUMIF(Q129:Q143,"B",M129:M143)</f>
        <v>42780</v>
      </c>
      <c r="N145" s="171" t="s">
        <v>79</v>
      </c>
      <c r="O145" s="41"/>
      <c r="P145" s="41"/>
      <c r="Q145" s="87"/>
      <c r="R145" s="180"/>
      <c r="S145" s="192"/>
      <c r="T145"/>
      <c r="U145"/>
      <c r="V145"/>
      <c r="W145"/>
      <c r="X145"/>
      <c r="Y145" s="88"/>
      <c r="Z145" s="74"/>
      <c r="AA145" s="74"/>
      <c r="AB145" s="74"/>
      <c r="AC145" s="74"/>
      <c r="AD145" s="74"/>
      <c r="AE145" s="75"/>
      <c r="AF145" s="76"/>
      <c r="AG145" s="1"/>
      <c r="AH145" s="1"/>
      <c r="AJ145" s="81"/>
      <c r="AK145" s="2"/>
      <c r="AL145" s="2"/>
      <c r="AM145" s="2"/>
      <c r="AN145" s="2"/>
      <c r="AO145" s="2"/>
      <c r="AP145" s="73"/>
    </row>
    <row r="146" spans="1:42">
      <c r="A146" s="40" t="s">
        <v>108</v>
      </c>
      <c r="F146" s="128"/>
      <c r="G146" s="139"/>
      <c r="H146" s="139"/>
      <c r="I146" s="139"/>
      <c r="J146" s="139"/>
      <c r="K146" s="140"/>
      <c r="M146" s="31"/>
      <c r="N146"/>
      <c r="O146" s="42"/>
      <c r="P146" s="42"/>
      <c r="Q146" s="108"/>
      <c r="R146" s="179"/>
      <c r="S146" s="186"/>
      <c r="T146"/>
      <c r="U146"/>
      <c r="V146"/>
      <c r="W146"/>
      <c r="X146"/>
      <c r="Y146" s="85"/>
      <c r="Z146" s="10"/>
      <c r="AA146" s="10"/>
      <c r="AB146" s="10"/>
      <c r="AC146" s="10"/>
      <c r="AD146" s="10"/>
      <c r="AE146" s="3"/>
      <c r="AF146" s="73"/>
      <c r="AG146" s="2"/>
      <c r="AH146" s="2"/>
      <c r="AJ146" s="81"/>
      <c r="AK146" s="2"/>
      <c r="AL146" s="2"/>
      <c r="AM146" s="2"/>
      <c r="AN146" s="2"/>
      <c r="AO146" s="2"/>
      <c r="AP146" s="73"/>
    </row>
    <row r="147" spans="1:42">
      <c r="A147" t="s">
        <v>17</v>
      </c>
      <c r="B147" t="s">
        <v>22</v>
      </c>
      <c r="C147">
        <v>4</v>
      </c>
      <c r="D147" t="s">
        <v>13</v>
      </c>
      <c r="E147" s="31">
        <v>10</v>
      </c>
      <c r="F147" s="128">
        <f t="shared" ref="F147:F153" si="598">E147*C147</f>
        <v>40</v>
      </c>
      <c r="G147" s="139">
        <v>0</v>
      </c>
      <c r="H147" s="139">
        <v>0</v>
      </c>
      <c r="I147" s="139">
        <v>0</v>
      </c>
      <c r="J147" s="139">
        <v>0</v>
      </c>
      <c r="K147" s="140">
        <v>0</v>
      </c>
      <c r="L147" t="s">
        <v>8</v>
      </c>
      <c r="M147" s="31">
        <f t="shared" ref="M147:M153" si="599">((Shop*G147)+(M_Tech*H147)+(CMM*I147)+(ENG*J147)+(DES*K147))*N147</f>
        <v>0</v>
      </c>
      <c r="N147" s="242">
        <v>2</v>
      </c>
      <c r="O147" s="42">
        <f t="shared" ref="O147:O153" si="600">N147*(M147+F147)</f>
        <v>80</v>
      </c>
      <c r="P147" s="42"/>
      <c r="Q147" s="108" t="s">
        <v>49</v>
      </c>
      <c r="R147" s="179" t="s">
        <v>92</v>
      </c>
      <c r="S147" s="186" t="str">
        <f t="shared" ref="S147:S153" si="601">CONCATENATE(Q147,R147,Y147)</f>
        <v>BPD2009</v>
      </c>
      <c r="T147"/>
      <c r="U147"/>
      <c r="V147"/>
      <c r="W147"/>
      <c r="X147"/>
      <c r="Y147" s="85">
        <v>2009</v>
      </c>
      <c r="Z147" s="2">
        <f t="shared" ref="Z147:Z153" si="602">IF($Q147="B", (G147*$N147),0)</f>
        <v>0</v>
      </c>
      <c r="AA147" s="2">
        <f t="shared" ref="AA147:AA153" si="603">IF($Q147="B", (H147*$N147),0)</f>
        <v>0</v>
      </c>
      <c r="AB147" s="2">
        <f t="shared" ref="AB147:AB153" si="604">IF($Q147="B", (I147*$N147),0)</f>
        <v>0</v>
      </c>
      <c r="AC147" s="2">
        <f t="shared" ref="AC147:AC153" si="605">IF($Q147="B", (J147*$N147),0)</f>
        <v>0</v>
      </c>
      <c r="AD147" s="2">
        <f t="shared" ref="AD147:AD153" si="606">IF($Q147="B", (K147*$N147),0)</f>
        <v>0</v>
      </c>
      <c r="AE147" s="3">
        <f t="shared" ref="AE147:AE153" si="607">IF($Q147="B", (F147*$N147),0)</f>
        <v>80</v>
      </c>
      <c r="AF147" s="73"/>
      <c r="AG147" s="2"/>
      <c r="AH147" s="2"/>
      <c r="AJ147" s="80">
        <f t="shared" ref="AJ147:AJ153" si="608">IF($Q147="C", (G147*$N147),0)</f>
        <v>0</v>
      </c>
      <c r="AK147" s="10">
        <f t="shared" ref="AK147:AK153" si="609">IF($Q147="C", (H147*$N147),0)</f>
        <v>0</v>
      </c>
      <c r="AL147" s="10">
        <f t="shared" ref="AL147:AL153" si="610">IF($Q147="C", (I147*$N147),0)</f>
        <v>0</v>
      </c>
      <c r="AM147" s="10">
        <f t="shared" ref="AM147:AM153" si="611">IF($Q147="C", (J147*$N147),0)</f>
        <v>0</v>
      </c>
      <c r="AN147" s="10">
        <f t="shared" ref="AN147:AN153" si="612">IF($Q147="C", (K147*$N147),0)</f>
        <v>0</v>
      </c>
      <c r="AO147" s="2">
        <f t="shared" ref="AO147:AO153" si="613">IF($Q147="C", (F147*$N147),0)</f>
        <v>0</v>
      </c>
      <c r="AP147" s="73"/>
    </row>
    <row r="148" spans="1:42">
      <c r="A148" t="s">
        <v>18</v>
      </c>
      <c r="B148" t="s">
        <v>23</v>
      </c>
      <c r="C148">
        <v>1</v>
      </c>
      <c r="D148" t="s">
        <v>24</v>
      </c>
      <c r="E148" s="31">
        <v>100</v>
      </c>
      <c r="F148" s="128">
        <f t="shared" si="598"/>
        <v>100</v>
      </c>
      <c r="G148" s="139">
        <v>0</v>
      </c>
      <c r="H148" s="139">
        <v>0</v>
      </c>
      <c r="I148" s="139">
        <v>0</v>
      </c>
      <c r="J148" s="139">
        <v>0</v>
      </c>
      <c r="K148" s="140">
        <v>0</v>
      </c>
      <c r="L148" t="s">
        <v>8</v>
      </c>
      <c r="M148" s="31">
        <f t="shared" si="599"/>
        <v>0</v>
      </c>
      <c r="N148" s="242">
        <v>2</v>
      </c>
      <c r="O148" s="42">
        <f t="shared" si="600"/>
        <v>200</v>
      </c>
      <c r="P148" s="42"/>
      <c r="Q148" s="108" t="s">
        <v>49</v>
      </c>
      <c r="R148" s="179" t="s">
        <v>92</v>
      </c>
      <c r="S148" s="186" t="str">
        <f t="shared" si="601"/>
        <v>BPD2009</v>
      </c>
      <c r="T148"/>
      <c r="U148"/>
      <c r="V148"/>
      <c r="W148"/>
      <c r="X148"/>
      <c r="Y148" s="85">
        <v>2009</v>
      </c>
      <c r="Z148" s="2">
        <f t="shared" si="602"/>
        <v>0</v>
      </c>
      <c r="AA148" s="2">
        <f t="shared" si="603"/>
        <v>0</v>
      </c>
      <c r="AB148" s="2">
        <f t="shared" si="604"/>
        <v>0</v>
      </c>
      <c r="AC148" s="2">
        <f t="shared" si="605"/>
        <v>0</v>
      </c>
      <c r="AD148" s="2">
        <f t="shared" si="606"/>
        <v>0</v>
      </c>
      <c r="AE148" s="3">
        <f t="shared" si="607"/>
        <v>200</v>
      </c>
      <c r="AF148" s="73"/>
      <c r="AJ148" s="80">
        <f t="shared" si="608"/>
        <v>0</v>
      </c>
      <c r="AK148" s="10">
        <f t="shared" si="609"/>
        <v>0</v>
      </c>
      <c r="AL148" s="10">
        <f t="shared" si="610"/>
        <v>0</v>
      </c>
      <c r="AM148" s="10">
        <f t="shared" si="611"/>
        <v>0</v>
      </c>
      <c r="AN148" s="10">
        <f t="shared" si="612"/>
        <v>0</v>
      </c>
      <c r="AO148" s="2">
        <f t="shared" si="613"/>
        <v>0</v>
      </c>
      <c r="AP148" s="73"/>
    </row>
    <row r="149" spans="1:42">
      <c r="A149" t="s">
        <v>19</v>
      </c>
      <c r="B149" t="s">
        <v>25</v>
      </c>
      <c r="C149">
        <v>5</v>
      </c>
      <c r="D149" t="s">
        <v>26</v>
      </c>
      <c r="E149" s="31">
        <v>3</v>
      </c>
      <c r="F149" s="128">
        <f>E149*C149</f>
        <v>15</v>
      </c>
      <c r="G149" s="139">
        <v>0</v>
      </c>
      <c r="H149" s="139">
        <v>0</v>
      </c>
      <c r="I149" s="139">
        <v>0</v>
      </c>
      <c r="J149" s="139">
        <v>0</v>
      </c>
      <c r="K149" s="140">
        <v>0</v>
      </c>
      <c r="L149" t="s">
        <v>8</v>
      </c>
      <c r="M149" s="31">
        <f t="shared" si="599"/>
        <v>0</v>
      </c>
      <c r="N149" s="242">
        <v>2</v>
      </c>
      <c r="O149" s="42">
        <f t="shared" si="600"/>
        <v>30</v>
      </c>
      <c r="P149" s="42"/>
      <c r="Q149" s="108" t="s">
        <v>49</v>
      </c>
      <c r="R149" s="179" t="s">
        <v>92</v>
      </c>
      <c r="S149" s="186" t="str">
        <f t="shared" si="601"/>
        <v>BPD2009</v>
      </c>
      <c r="T149"/>
      <c r="U149"/>
      <c r="V149"/>
      <c r="W149"/>
      <c r="X149"/>
      <c r="Y149" s="85">
        <v>2009</v>
      </c>
      <c r="Z149" s="2">
        <f t="shared" si="602"/>
        <v>0</v>
      </c>
      <c r="AA149" s="2">
        <f t="shared" si="603"/>
        <v>0</v>
      </c>
      <c r="AB149" s="2">
        <f t="shared" si="604"/>
        <v>0</v>
      </c>
      <c r="AC149" s="2">
        <f t="shared" si="605"/>
        <v>0</v>
      </c>
      <c r="AD149" s="2">
        <f t="shared" si="606"/>
        <v>0</v>
      </c>
      <c r="AE149" s="3">
        <f t="shared" si="607"/>
        <v>30</v>
      </c>
      <c r="AF149" s="73"/>
      <c r="AJ149" s="80">
        <f t="shared" si="608"/>
        <v>0</v>
      </c>
      <c r="AK149" s="10">
        <f t="shared" si="609"/>
        <v>0</v>
      </c>
      <c r="AL149" s="10">
        <f t="shared" si="610"/>
        <v>0</v>
      </c>
      <c r="AM149" s="10">
        <f t="shared" si="611"/>
        <v>0</v>
      </c>
      <c r="AN149" s="10">
        <f t="shared" si="612"/>
        <v>0</v>
      </c>
      <c r="AO149" s="2">
        <f t="shared" si="613"/>
        <v>0</v>
      </c>
      <c r="AP149" s="73"/>
    </row>
    <row r="150" spans="1:42">
      <c r="A150" s="40" t="s">
        <v>81</v>
      </c>
      <c r="B150" t="s">
        <v>23</v>
      </c>
      <c r="C150">
        <v>1</v>
      </c>
      <c r="D150" t="s">
        <v>24</v>
      </c>
      <c r="E150" s="31">
        <v>150</v>
      </c>
      <c r="F150" s="128">
        <f t="shared" si="598"/>
        <v>150</v>
      </c>
      <c r="G150" s="139">
        <v>0</v>
      </c>
      <c r="H150" s="139">
        <v>5</v>
      </c>
      <c r="I150" s="139">
        <v>0</v>
      </c>
      <c r="J150" s="139">
        <v>0</v>
      </c>
      <c r="K150" s="140">
        <v>0</v>
      </c>
      <c r="L150" t="s">
        <v>8</v>
      </c>
      <c r="M150" s="31">
        <f t="shared" si="599"/>
        <v>1170</v>
      </c>
      <c r="N150" s="242">
        <v>2</v>
      </c>
      <c r="O150" s="42">
        <f t="shared" si="600"/>
        <v>2640</v>
      </c>
      <c r="P150" s="42"/>
      <c r="Q150" s="108" t="s">
        <v>49</v>
      </c>
      <c r="R150" s="179" t="s">
        <v>92</v>
      </c>
      <c r="S150" s="186" t="str">
        <f t="shared" si="601"/>
        <v>BPD2009</v>
      </c>
      <c r="T150"/>
      <c r="U150"/>
      <c r="V150"/>
      <c r="W150"/>
      <c r="X150"/>
      <c r="Y150" s="85">
        <v>2009</v>
      </c>
      <c r="Z150" s="2">
        <f t="shared" si="602"/>
        <v>0</v>
      </c>
      <c r="AA150" s="2">
        <f t="shared" si="603"/>
        <v>10</v>
      </c>
      <c r="AB150" s="2">
        <f t="shared" si="604"/>
        <v>0</v>
      </c>
      <c r="AC150" s="2">
        <f t="shared" si="605"/>
        <v>0</v>
      </c>
      <c r="AD150" s="2">
        <f t="shared" si="606"/>
        <v>0</v>
      </c>
      <c r="AE150" s="3">
        <f t="shared" si="607"/>
        <v>300</v>
      </c>
      <c r="AF150" s="73"/>
      <c r="AG150" s="2"/>
      <c r="AH150" s="2"/>
      <c r="AJ150" s="80">
        <f t="shared" si="608"/>
        <v>0</v>
      </c>
      <c r="AK150" s="10">
        <f t="shared" si="609"/>
        <v>0</v>
      </c>
      <c r="AL150" s="10">
        <f t="shared" si="610"/>
        <v>0</v>
      </c>
      <c r="AM150" s="10">
        <f t="shared" si="611"/>
        <v>0</v>
      </c>
      <c r="AN150" s="10">
        <f t="shared" si="612"/>
        <v>0</v>
      </c>
      <c r="AO150" s="2">
        <f t="shared" si="613"/>
        <v>0</v>
      </c>
      <c r="AP150" s="73"/>
    </row>
    <row r="151" spans="1:42">
      <c r="A151" s="40" t="s">
        <v>80</v>
      </c>
      <c r="B151" t="s">
        <v>27</v>
      </c>
      <c r="C151">
        <v>1</v>
      </c>
      <c r="D151" t="s">
        <v>28</v>
      </c>
      <c r="E151" s="31">
        <v>50</v>
      </c>
      <c r="F151" s="128">
        <f t="shared" si="598"/>
        <v>50</v>
      </c>
      <c r="G151" s="139">
        <v>4</v>
      </c>
      <c r="H151" s="139">
        <v>0</v>
      </c>
      <c r="I151" s="139">
        <v>0</v>
      </c>
      <c r="J151" s="139">
        <v>0</v>
      </c>
      <c r="K151" s="140">
        <v>0</v>
      </c>
      <c r="L151" t="s">
        <v>8</v>
      </c>
      <c r="M151" s="31">
        <f t="shared" si="599"/>
        <v>1016</v>
      </c>
      <c r="N151" s="242">
        <v>2</v>
      </c>
      <c r="O151" s="42">
        <f t="shared" si="600"/>
        <v>2132</v>
      </c>
      <c r="P151" s="42"/>
      <c r="Q151" s="108" t="s">
        <v>49</v>
      </c>
      <c r="R151" s="179" t="s">
        <v>92</v>
      </c>
      <c r="S151" s="186" t="str">
        <f t="shared" si="601"/>
        <v>BPD2009</v>
      </c>
      <c r="T151"/>
      <c r="U151"/>
      <c r="V151"/>
      <c r="W151"/>
      <c r="X151"/>
      <c r="Y151" s="85">
        <v>2009</v>
      </c>
      <c r="Z151" s="2">
        <f t="shared" si="602"/>
        <v>8</v>
      </c>
      <c r="AA151" s="2">
        <f t="shared" si="603"/>
        <v>0</v>
      </c>
      <c r="AB151" s="2">
        <f t="shared" si="604"/>
        <v>0</v>
      </c>
      <c r="AC151" s="2">
        <f t="shared" si="605"/>
        <v>0</v>
      </c>
      <c r="AD151" s="2">
        <f t="shared" si="606"/>
        <v>0</v>
      </c>
      <c r="AE151" s="3">
        <f t="shared" si="607"/>
        <v>100</v>
      </c>
      <c r="AF151" s="73"/>
      <c r="AJ151" s="80">
        <f t="shared" si="608"/>
        <v>0</v>
      </c>
      <c r="AK151" s="10">
        <f t="shared" si="609"/>
        <v>0</v>
      </c>
      <c r="AL151" s="10">
        <f t="shared" si="610"/>
        <v>0</v>
      </c>
      <c r="AM151" s="10">
        <f t="shared" si="611"/>
        <v>0</v>
      </c>
      <c r="AN151" s="10">
        <f t="shared" si="612"/>
        <v>0</v>
      </c>
      <c r="AO151" s="2">
        <f t="shared" si="613"/>
        <v>0</v>
      </c>
      <c r="AP151" s="73"/>
    </row>
    <row r="152" spans="1:42">
      <c r="A152" t="s">
        <v>20</v>
      </c>
      <c r="B152" t="s">
        <v>34</v>
      </c>
      <c r="E152" s="31">
        <v>0</v>
      </c>
      <c r="F152" s="128">
        <f t="shared" si="598"/>
        <v>0</v>
      </c>
      <c r="G152" s="139">
        <v>0</v>
      </c>
      <c r="H152" s="139">
        <v>8</v>
      </c>
      <c r="I152" s="139">
        <v>0</v>
      </c>
      <c r="J152" s="139">
        <v>0</v>
      </c>
      <c r="K152" s="140">
        <v>0</v>
      </c>
      <c r="L152" t="s">
        <v>8</v>
      </c>
      <c r="M152" s="31">
        <f t="shared" si="599"/>
        <v>1872</v>
      </c>
      <c r="N152" s="242">
        <v>2</v>
      </c>
      <c r="O152" s="42">
        <f t="shared" si="600"/>
        <v>3744</v>
      </c>
      <c r="P152" s="42"/>
      <c r="Q152" s="108" t="s">
        <v>49</v>
      </c>
      <c r="R152" s="179" t="s">
        <v>92</v>
      </c>
      <c r="S152" s="186" t="str">
        <f t="shared" si="601"/>
        <v>BPD2009</v>
      </c>
      <c r="T152"/>
      <c r="U152"/>
      <c r="V152"/>
      <c r="W152"/>
      <c r="X152"/>
      <c r="Y152" s="85">
        <v>2009</v>
      </c>
      <c r="Z152" s="2">
        <f t="shared" si="602"/>
        <v>0</v>
      </c>
      <c r="AA152" s="2">
        <f t="shared" si="603"/>
        <v>16</v>
      </c>
      <c r="AB152" s="2">
        <f t="shared" si="604"/>
        <v>0</v>
      </c>
      <c r="AC152" s="2">
        <f t="shared" si="605"/>
        <v>0</v>
      </c>
      <c r="AD152" s="2">
        <f t="shared" si="606"/>
        <v>0</v>
      </c>
      <c r="AE152" s="3">
        <f t="shared" si="607"/>
        <v>0</v>
      </c>
      <c r="AF152" s="73"/>
      <c r="AG152" s="2"/>
      <c r="AH152" s="2"/>
      <c r="AJ152" s="80">
        <f t="shared" si="608"/>
        <v>0</v>
      </c>
      <c r="AK152" s="10">
        <f t="shared" si="609"/>
        <v>0</v>
      </c>
      <c r="AL152" s="10">
        <f t="shared" si="610"/>
        <v>0</v>
      </c>
      <c r="AM152" s="10">
        <f t="shared" si="611"/>
        <v>0</v>
      </c>
      <c r="AN152" s="10">
        <f t="shared" si="612"/>
        <v>0</v>
      </c>
      <c r="AO152" s="2">
        <f t="shared" si="613"/>
        <v>0</v>
      </c>
      <c r="AP152" s="73"/>
    </row>
    <row r="153" spans="1:42">
      <c r="A153" t="s">
        <v>21</v>
      </c>
      <c r="B153" t="s">
        <v>33</v>
      </c>
      <c r="C153">
        <v>1</v>
      </c>
      <c r="E153" s="31">
        <v>1500</v>
      </c>
      <c r="F153" s="130">
        <f t="shared" si="598"/>
        <v>1500</v>
      </c>
      <c r="G153" s="145">
        <v>0</v>
      </c>
      <c r="H153" s="145">
        <v>0</v>
      </c>
      <c r="I153" s="145">
        <v>0</v>
      </c>
      <c r="J153" s="145">
        <v>0</v>
      </c>
      <c r="K153" s="146">
        <v>0</v>
      </c>
      <c r="L153" t="s">
        <v>8</v>
      </c>
      <c r="M153" s="31">
        <f t="shared" si="599"/>
        <v>0</v>
      </c>
      <c r="N153" s="242">
        <v>2</v>
      </c>
      <c r="O153" s="42">
        <f t="shared" si="600"/>
        <v>3000</v>
      </c>
      <c r="P153" s="42"/>
      <c r="Q153" s="108" t="s">
        <v>49</v>
      </c>
      <c r="R153" s="179" t="s">
        <v>92</v>
      </c>
      <c r="S153" s="186" t="str">
        <f t="shared" si="601"/>
        <v>BPD2009</v>
      </c>
      <c r="T153"/>
      <c r="U153"/>
      <c r="V153"/>
      <c r="W153"/>
      <c r="X153"/>
      <c r="Y153" s="85">
        <v>2009</v>
      </c>
      <c r="Z153" s="2">
        <f t="shared" si="602"/>
        <v>0</v>
      </c>
      <c r="AA153" s="2">
        <f t="shared" si="603"/>
        <v>0</v>
      </c>
      <c r="AB153" s="2">
        <f t="shared" si="604"/>
        <v>0</v>
      </c>
      <c r="AC153" s="2">
        <f t="shared" si="605"/>
        <v>0</v>
      </c>
      <c r="AD153" s="2">
        <f t="shared" si="606"/>
        <v>0</v>
      </c>
      <c r="AE153" s="3">
        <f t="shared" si="607"/>
        <v>3000</v>
      </c>
      <c r="AF153" s="78"/>
      <c r="AG153" t="s">
        <v>84</v>
      </c>
      <c r="AI153" s="31" t="s">
        <v>85</v>
      </c>
      <c r="AJ153" s="82">
        <f t="shared" si="608"/>
        <v>0</v>
      </c>
      <c r="AK153" s="77">
        <f t="shared" si="609"/>
        <v>0</v>
      </c>
      <c r="AL153" s="77">
        <f t="shared" si="610"/>
        <v>0</v>
      </c>
      <c r="AM153" s="77">
        <f t="shared" si="611"/>
        <v>0</v>
      </c>
      <c r="AN153" s="77">
        <f t="shared" si="612"/>
        <v>0</v>
      </c>
      <c r="AO153" s="83">
        <f t="shared" si="613"/>
        <v>0</v>
      </c>
      <c r="AP153" s="78"/>
    </row>
    <row r="154" spans="1:42" ht="13.5" thickBot="1">
      <c r="A154" s="43" t="s">
        <v>82</v>
      </c>
      <c r="B154" s="7"/>
      <c r="C154" s="7"/>
      <c r="D154" s="7"/>
      <c r="E154" s="9"/>
      <c r="F154" s="9"/>
      <c r="G154" s="141"/>
      <c r="H154" s="141"/>
      <c r="I154" s="141"/>
      <c r="J154" s="141"/>
      <c r="K154" s="141"/>
      <c r="L154" s="7"/>
      <c r="M154" s="9">
        <f>SUM(M147:M153)</f>
        <v>4058</v>
      </c>
      <c r="N154" s="273" t="s">
        <v>78</v>
      </c>
      <c r="O154" s="274"/>
      <c r="P154" s="275"/>
      <c r="Q154" s="109"/>
      <c r="R154" s="182"/>
      <c r="S154" s="187"/>
      <c r="T154" s="24"/>
      <c r="U154" s="18"/>
      <c r="V154" s="18"/>
      <c r="W154" s="18"/>
      <c r="X154" s="18"/>
      <c r="Y154" s="86"/>
      <c r="Z154" s="11">
        <f>SUM(Z147:Z153)</f>
        <v>8</v>
      </c>
      <c r="AA154" s="11">
        <f>SUM(AA147:AA153)</f>
        <v>26</v>
      </c>
      <c r="AB154" s="11">
        <f>O154*SUM(AB147:AB153)</f>
        <v>0</v>
      </c>
      <c r="AC154" s="11">
        <f>SUM(AC147:AC153)</f>
        <v>0</v>
      </c>
      <c r="AD154" s="11">
        <f>SUM(AD147:AD153)</f>
        <v>0</v>
      </c>
      <c r="AE154" s="7"/>
      <c r="AF154" s="8">
        <f>SUM(AE147:AE153)</f>
        <v>3710</v>
      </c>
      <c r="AG154" s="184">
        <f>(Shop*Z154)+M_Tech*AA154+CMM*AB154+ENG*AC154+DES*AD154+AF154</f>
        <v>7768</v>
      </c>
      <c r="AH154" s="9"/>
      <c r="AI154" s="8">
        <f>Shop*AJ154+M_Tech*AK154+CMM*AL154+ENG*AM154+DES*AN154+AP154</f>
        <v>0</v>
      </c>
      <c r="AJ154" s="183">
        <f>SUM(AJ147:AJ153)</f>
        <v>0</v>
      </c>
      <c r="AK154" s="11">
        <f>SUM(AK147:AK153)</f>
        <v>0</v>
      </c>
      <c r="AL154" s="11">
        <f>Z154*SUM(AL147:AL153)</f>
        <v>0</v>
      </c>
      <c r="AM154" s="11">
        <f>SUM(AM147:AM153)</f>
        <v>0</v>
      </c>
      <c r="AN154" s="11">
        <f>SUM(AN147:AN153)</f>
        <v>0</v>
      </c>
      <c r="AO154" s="7"/>
      <c r="AP154" s="8">
        <f>SUM(AO147:AO153)</f>
        <v>0</v>
      </c>
    </row>
    <row r="155" spans="1:42" ht="13.5" thickBot="1">
      <c r="J155" s="132"/>
      <c r="K155" s="132"/>
      <c r="N155"/>
      <c r="O155" s="70"/>
      <c r="P155" s="101"/>
      <c r="Q155" s="90"/>
      <c r="R155" s="90"/>
      <c r="S155" s="189"/>
      <c r="T155" s="91"/>
      <c r="U155" s="92"/>
      <c r="V155" s="92"/>
      <c r="W155" s="92"/>
      <c r="X155" s="92">
        <f>SUM(X5:X154)</f>
        <v>0</v>
      </c>
      <c r="Y155" s="93"/>
      <c r="Z155" s="5">
        <f>Z18+Z67+Z124+Z154+Z144</f>
        <v>674</v>
      </c>
      <c r="AA155" s="5">
        <f>AA18+AA67+AA124+AA154+AA144</f>
        <v>628</v>
      </c>
      <c r="AB155" s="5">
        <f>AB18+AB67+AB124+AB154+AB144</f>
        <v>92</v>
      </c>
      <c r="AC155" s="5">
        <f>AC18+AC67+AC124+AC154+AC144</f>
        <v>416</v>
      </c>
      <c r="AD155" s="5">
        <f>AD18+AD67+AD124+AD154+AD144</f>
        <v>0</v>
      </c>
      <c r="AE155" s="4"/>
      <c r="AF155" s="6">
        <f>SUM(AF4:AF154)</f>
        <v>49042.5</v>
      </c>
      <c r="AG155" s="48"/>
      <c r="AH155" s="48"/>
      <c r="AJ155" s="84">
        <f>AJ18+AJ67+AJ124+AJ154+AJ144</f>
        <v>103.6</v>
      </c>
      <c r="AK155" s="5">
        <f>AK18+AK67+AK124+AK154+AK144</f>
        <v>197</v>
      </c>
      <c r="AL155" s="5">
        <f>AL18+AL67+AL124+AL154+AL144</f>
        <v>112</v>
      </c>
      <c r="AM155" s="5">
        <f>AM18+AM67+AM124+AM154+AM144</f>
        <v>92</v>
      </c>
      <c r="AN155" s="5">
        <f>AN18+AN67+AN124+AN154+AN144</f>
        <v>0</v>
      </c>
      <c r="AO155" s="4"/>
      <c r="AP155" s="6">
        <f>SUM(AP4:AP154)</f>
        <v>3029</v>
      </c>
    </row>
    <row r="156" spans="1:42">
      <c r="A156" s="33"/>
      <c r="B156" s="33"/>
      <c r="C156" s="33"/>
      <c r="D156" s="33"/>
      <c r="E156" s="121"/>
      <c r="F156" s="121"/>
      <c r="G156" s="147"/>
      <c r="H156" s="148"/>
      <c r="I156" s="148"/>
      <c r="J156" s="149"/>
      <c r="K156" s="149"/>
      <c r="L156" s="1"/>
      <c r="M156" s="1"/>
      <c r="N156" s="23"/>
      <c r="O156" s="1"/>
      <c r="P156" s="1"/>
      <c r="T156" s="12"/>
      <c r="U156" s="17"/>
      <c r="V156" s="17"/>
      <c r="W156" s="17"/>
      <c r="X156" s="17"/>
      <c r="Y156" s="45"/>
      <c r="Z156" s="12" t="s">
        <v>11</v>
      </c>
      <c r="AA156" s="12" t="s">
        <v>10</v>
      </c>
      <c r="AB156" s="12" t="s">
        <v>39</v>
      </c>
      <c r="AC156" s="12" t="s">
        <v>31</v>
      </c>
      <c r="AD156" s="12" t="s">
        <v>32</v>
      </c>
      <c r="AE156" s="1"/>
      <c r="AF156" s="12" t="s">
        <v>16</v>
      </c>
      <c r="AG156" s="12"/>
      <c r="AH156" s="12"/>
      <c r="AJ156" s="12" t="s">
        <v>11</v>
      </c>
      <c r="AK156" s="12" t="s">
        <v>10</v>
      </c>
      <c r="AL156" s="12" t="s">
        <v>39</v>
      </c>
      <c r="AM156" s="12" t="s">
        <v>31</v>
      </c>
      <c r="AN156" s="12" t="s">
        <v>32</v>
      </c>
      <c r="AO156" s="1"/>
      <c r="AP156" s="12" t="s">
        <v>16</v>
      </c>
    </row>
    <row r="157" spans="1:42" ht="13.5" thickBot="1">
      <c r="A157" s="25"/>
      <c r="B157" s="33"/>
      <c r="C157" s="33"/>
      <c r="D157" s="33"/>
      <c r="E157" s="121"/>
      <c r="F157" s="121"/>
      <c r="G157" s="147"/>
      <c r="H157" s="148"/>
      <c r="I157" s="148"/>
      <c r="J157" s="149"/>
      <c r="K157" s="149"/>
      <c r="L157" s="1"/>
      <c r="M157" s="30"/>
      <c r="N157" s="23"/>
      <c r="O157" s="28"/>
      <c r="P157" s="28"/>
      <c r="T157" s="12"/>
      <c r="U157" s="17"/>
      <c r="V157" s="17"/>
      <c r="W157" s="17"/>
      <c r="X157" s="17"/>
      <c r="Y157" s="45"/>
      <c r="Z157" s="12"/>
      <c r="AA157" s="12"/>
      <c r="AB157" s="12"/>
      <c r="AC157" s="12"/>
      <c r="AD157" s="12"/>
    </row>
    <row r="158" spans="1:42" ht="13.5" thickBot="1">
      <c r="A158" s="25"/>
      <c r="B158" s="15"/>
      <c r="C158" s="15"/>
      <c r="D158" s="15"/>
      <c r="E158" s="122"/>
      <c r="F158" s="122"/>
      <c r="G158" s="150"/>
      <c r="AE158" s="12" t="s">
        <v>87</v>
      </c>
      <c r="AF158" s="21">
        <f>(Z155*Shop)+(AA155*M_Tech)+(AB155*CMM)+(AC155*ENG)+(AD155*DES)+AF155+(Shop*AJ155)+(M_Tech*AK155)+(CMM*AL155)+(ENG*AM155)+(DES*AN155)+AP155</f>
        <v>349459.7</v>
      </c>
      <c r="AG158" s="49">
        <f>AF172+AP172</f>
        <v>316994.5</v>
      </c>
      <c r="AH158" s="49"/>
      <c r="AI158" s="172" t="s">
        <v>86</v>
      </c>
    </row>
    <row r="159" spans="1:42" ht="13.5" thickBot="1">
      <c r="A159" s="25"/>
      <c r="B159" s="15"/>
      <c r="C159" s="15"/>
      <c r="D159" s="15"/>
      <c r="E159" s="122"/>
      <c r="F159" s="122"/>
      <c r="G159" s="150"/>
    </row>
    <row r="160" spans="1:42" ht="15.75" thickTop="1">
      <c r="A160" s="25"/>
      <c r="B160" s="15"/>
      <c r="C160" s="15"/>
      <c r="D160" s="15"/>
      <c r="E160" s="122"/>
      <c r="F160" s="122"/>
      <c r="G160" s="150"/>
      <c r="Z160" s="288" t="s">
        <v>51</v>
      </c>
      <c r="AA160" s="289"/>
      <c r="AB160" s="289"/>
      <c r="AC160" s="289"/>
      <c r="AD160" s="289"/>
      <c r="AE160" s="289"/>
      <c r="AF160" s="290"/>
      <c r="AG160" s="47"/>
      <c r="AH160" s="47"/>
      <c r="AJ160" s="291" t="s">
        <v>52</v>
      </c>
      <c r="AK160" s="292"/>
      <c r="AL160" s="292"/>
      <c r="AM160" s="292"/>
      <c r="AN160" s="292"/>
      <c r="AO160" s="292"/>
      <c r="AP160" s="293"/>
    </row>
    <row r="161" spans="1:42">
      <c r="A161" s="15"/>
      <c r="B161" s="15"/>
      <c r="C161" s="15"/>
      <c r="D161" s="15"/>
      <c r="E161" s="122"/>
      <c r="F161" s="122"/>
      <c r="G161" s="150"/>
      <c r="Y161" s="46" t="s">
        <v>53</v>
      </c>
      <c r="Z161" s="50" t="s">
        <v>11</v>
      </c>
      <c r="AA161" s="22" t="s">
        <v>10</v>
      </c>
      <c r="AB161" s="22" t="s">
        <v>39</v>
      </c>
      <c r="AC161" s="22" t="s">
        <v>31</v>
      </c>
      <c r="AD161" s="22" t="s">
        <v>32</v>
      </c>
      <c r="AE161" s="22" t="s">
        <v>16</v>
      </c>
      <c r="AF161" s="51"/>
      <c r="AJ161" s="61" t="s">
        <v>11</v>
      </c>
      <c r="AK161" s="22" t="s">
        <v>10</v>
      </c>
      <c r="AL161" s="22" t="s">
        <v>39</v>
      </c>
      <c r="AM161" s="22" t="s">
        <v>31</v>
      </c>
      <c r="AN161" s="22" t="s">
        <v>32</v>
      </c>
      <c r="AO161" s="22" t="s">
        <v>16</v>
      </c>
      <c r="AP161" s="62"/>
    </row>
    <row r="162" spans="1:42">
      <c r="A162" s="15"/>
      <c r="B162" s="15"/>
      <c r="C162" s="15"/>
      <c r="D162" s="15"/>
      <c r="E162" s="122"/>
      <c r="F162" s="122"/>
      <c r="G162" s="150"/>
      <c r="Y162" s="44">
        <v>2008</v>
      </c>
      <c r="Z162" s="52">
        <f>SUMIF($Y$5:$Y154,$Y162,Z$5:Z154)</f>
        <v>0</v>
      </c>
      <c r="AA162" s="53">
        <f>SUMIF($Y$5:$Y154,$Y162,AA$5:AA154)</f>
        <v>0</v>
      </c>
      <c r="AB162" s="53">
        <f>SUMIF($Y$5:$Y154,$Y162,AB$5:AB154)</f>
        <v>0</v>
      </c>
      <c r="AC162" s="53">
        <f>SUMIF($Y$5:$Y154,$Y162,AC$5:AC154)</f>
        <v>0</v>
      </c>
      <c r="AD162" s="53">
        <f>SUMIF($Y$5:$Y154,$Y162,AD$5:AD154)</f>
        <v>0</v>
      </c>
      <c r="AE162" s="54">
        <f>SUMIF($Y$5:$Y154,$Y162,AE$5:AE154)</f>
        <v>0</v>
      </c>
      <c r="AF162" s="51"/>
      <c r="AI162" s="193">
        <f>Y162</f>
        <v>2008</v>
      </c>
      <c r="AJ162" s="63">
        <f>SUMIF($Y$5:$Y154,$Y162,AJ$5:AJ154)</f>
        <v>0</v>
      </c>
      <c r="AK162" s="53">
        <f>SUMIF($Y$5:$Y154,$Y162,AK$5:AK154)</f>
        <v>0</v>
      </c>
      <c r="AL162" s="53">
        <f>SUMIF($Y$5:$Y154,$Y162,AL$5:AL154)</f>
        <v>0</v>
      </c>
      <c r="AM162" s="53">
        <f>SUMIF($Y$5:$Y154,$Y162,AM$5:AM154)</f>
        <v>0</v>
      </c>
      <c r="AN162" s="53">
        <f>SUMIF($Y$5:$Y154,$Y162,AN$5:AN154)</f>
        <v>0</v>
      </c>
      <c r="AO162" s="54">
        <f>SUMIF($Y$5:$Y154,$Y162,AO$5:AO154)</f>
        <v>0</v>
      </c>
      <c r="AP162" s="62"/>
    </row>
    <row r="163" spans="1:42">
      <c r="A163" s="15"/>
      <c r="B163" s="34"/>
      <c r="C163" s="34"/>
      <c r="D163" s="34"/>
      <c r="E163" s="123"/>
      <c r="F163" s="123"/>
      <c r="G163" s="151"/>
      <c r="Y163" s="44">
        <v>2009</v>
      </c>
      <c r="Z163" s="52">
        <f>SUMIF($Y$5:$Y155,$Y163,Z$5:Z155)</f>
        <v>500</v>
      </c>
      <c r="AA163" s="53">
        <f>SUMIF($Y$5:$Y155,$Y163,AA$5:AA155)</f>
        <v>628</v>
      </c>
      <c r="AB163" s="53">
        <f>SUMIF($Y$5:$Y155,$Y163,AB$5:AB155)</f>
        <v>92</v>
      </c>
      <c r="AC163" s="53">
        <f>SUMIF($Y$5:$Y153,$Y163,AC$5:AC153)</f>
        <v>416</v>
      </c>
      <c r="AD163" s="53">
        <f>SUMIF($Y$5:$Y155,$Y163,AD$5:AD155)</f>
        <v>0</v>
      </c>
      <c r="AE163" s="54">
        <f>SUMIF($Y$5:$Y155,$Y163,AE$5:AE155)</f>
        <v>43492.5</v>
      </c>
      <c r="AF163" s="51"/>
      <c r="AI163" s="193">
        <f t="shared" ref="AI163:AI166" si="614">Y163</f>
        <v>2009</v>
      </c>
      <c r="AJ163" s="63">
        <f>SUMIF($Y$5:$Y155,$Y163,AJ$5:AJ155)</f>
        <v>72</v>
      </c>
      <c r="AK163" s="53">
        <f>SUMIF($Y$5:$Y155,$Y163,AK$5:AK155)</f>
        <v>197</v>
      </c>
      <c r="AL163" s="53">
        <f>SUMIF($Y$5:$Y155,$Y163,AL$5:AL155)</f>
        <v>112</v>
      </c>
      <c r="AM163" s="53">
        <f>SUMIF($Y$5:$Y155,$Y163,AM$5:AM155)</f>
        <v>92</v>
      </c>
      <c r="AN163" s="53">
        <f>SUMIF($Y$5:$Y155,$Y163,AN$5:AN155)</f>
        <v>0</v>
      </c>
      <c r="AO163" s="54">
        <f>SUMIF($Y$5:$Y155,$Y163,AO$5:AO155)</f>
        <v>2225</v>
      </c>
      <c r="AP163" s="62"/>
    </row>
    <row r="164" spans="1:42">
      <c r="A164" s="15"/>
      <c r="B164" s="34"/>
      <c r="C164" s="34"/>
      <c r="D164" s="34"/>
      <c r="E164" s="123"/>
      <c r="F164" s="123"/>
      <c r="G164" s="151"/>
      <c r="Y164" s="44">
        <v>2010</v>
      </c>
      <c r="Z164" s="52">
        <f>SUMIF($Y$5:$Y156,$Y164,Z$5:Z156)</f>
        <v>0</v>
      </c>
      <c r="AA164" s="53">
        <f>SUMIF($Y$5:$Y156,$Y164,AA$5:AA156)</f>
        <v>0</v>
      </c>
      <c r="AB164" s="53">
        <f>SUMIF($Y$5:$Y156,$Y164,AB$5:AB156)</f>
        <v>0</v>
      </c>
      <c r="AC164" s="53">
        <f>SUMIF($Y$5:$Y156,$Y164,AC$5:AC156)</f>
        <v>0</v>
      </c>
      <c r="AD164" s="53">
        <f>SUMIF($Y$5:$Y156,$Y164,AD$5:AD156)</f>
        <v>0</v>
      </c>
      <c r="AE164" s="54">
        <f>SUMIF($Y$5:$Y156,$Y164,AE$5:AE156)</f>
        <v>0</v>
      </c>
      <c r="AF164" s="51"/>
      <c r="AI164" s="193">
        <f t="shared" si="614"/>
        <v>2010</v>
      </c>
      <c r="AJ164" s="63">
        <f>SUMIF($Y$5:$Y156,$Y164,AJ$5:AJ156)</f>
        <v>0</v>
      </c>
      <c r="AK164" s="53">
        <f>SUMIF($Y$5:$Y156,$Y164,AK$5:AK156)</f>
        <v>0</v>
      </c>
      <c r="AL164" s="53">
        <f>SUMIF($Y$5:$Y156,$Y164,AL$5:AL156)</f>
        <v>0</v>
      </c>
      <c r="AM164" s="53">
        <f>SUMIF($Y$5:$Y156,$Y164,AM$5:AM156)</f>
        <v>0</v>
      </c>
      <c r="AN164" s="53">
        <f>SUMIF($Y$5:$Y156,$Y164,AN$5:AN156)</f>
        <v>0</v>
      </c>
      <c r="AO164" s="54">
        <f>SUMIF($Y$5:$Y156,$Y164,AO$5:AO156)</f>
        <v>0</v>
      </c>
      <c r="AP164" s="62"/>
    </row>
    <row r="165" spans="1:42">
      <c r="A165" s="15"/>
      <c r="B165" s="34"/>
      <c r="C165" s="34"/>
      <c r="D165" s="34"/>
      <c r="E165" s="123"/>
      <c r="F165" s="123"/>
      <c r="G165" s="151"/>
      <c r="Y165" s="46" t="s">
        <v>57</v>
      </c>
      <c r="Z165" s="52">
        <f>SUMIF($Y$5:$Y157,$Y165,Z$5:Z157)</f>
        <v>174</v>
      </c>
      <c r="AA165" s="53">
        <f>SUMIF($Y$5:$Y157,$Y165,AA$5:AA157)</f>
        <v>0</v>
      </c>
      <c r="AB165" s="53">
        <f>SUMIF($Y$5:$Y157,$Y165,AB$5:AB157)</f>
        <v>0</v>
      </c>
      <c r="AC165" s="53">
        <f>SUMIF($Y$5:$Y157,$Y165,AC$5:AC157)</f>
        <v>0</v>
      </c>
      <c r="AD165" s="53">
        <f>SUMIF($Y$5:$Y157,$Y165,AD$5:AD157)</f>
        <v>0</v>
      </c>
      <c r="AE165" s="54">
        <f>SUMIF($Y$5:$Y157,$Y165,AE$5:AE157)</f>
        <v>5550</v>
      </c>
      <c r="AF165" s="51"/>
      <c r="AI165" s="193" t="str">
        <f t="shared" si="614"/>
        <v>Hytec</v>
      </c>
      <c r="AJ165" s="63">
        <f>SUMIF($Y$5:$Y157,$Y165,AJ$5:AJ157)</f>
        <v>31.6</v>
      </c>
      <c r="AK165" s="53">
        <f>SUMIF($Y$5:$Y157,$Y165,AK$5:AK157)</f>
        <v>0</v>
      </c>
      <c r="AL165" s="53">
        <f>SUMIF($Y$5:$Y157,$Y165,AL$5:AL157)</f>
        <v>0</v>
      </c>
      <c r="AM165" s="53">
        <f>SUMIF($Y$5:$Y157,$Y165,AM$5:AM157)</f>
        <v>0</v>
      </c>
      <c r="AN165" s="53">
        <f>SUMIF($Y$5:$Y157,$Y165,AN$5:AN157)</f>
        <v>0</v>
      </c>
      <c r="AO165" s="54">
        <f>SUMIF($Y$5:$Y157,$Y165,AO$5:AO157)</f>
        <v>804</v>
      </c>
      <c r="AP165" s="62"/>
    </row>
    <row r="166" spans="1:42">
      <c r="A166" s="15"/>
      <c r="B166" s="35"/>
      <c r="C166" s="35"/>
      <c r="D166" s="35"/>
      <c r="E166" s="124"/>
      <c r="F166" s="122"/>
      <c r="G166" s="152"/>
      <c r="Y166" s="46" t="s">
        <v>58</v>
      </c>
      <c r="Z166" s="52">
        <f>SUMIF($Y$5:$Y156,$Y166,Z$5:Z156)</f>
        <v>0</v>
      </c>
      <c r="AA166" s="53">
        <f>SUMIF($Y$5:$Y156,$Y166,AA$5:AA156)</f>
        <v>0</v>
      </c>
      <c r="AB166" s="53">
        <f>SUMIF($Y$5:$Y156,$Y166,AB$5:AB156)</f>
        <v>0</v>
      </c>
      <c r="AC166" s="53">
        <f>SUMIF($Y$5:$Y156,$Y166,AC$5:AC156)</f>
        <v>0</v>
      </c>
      <c r="AD166" s="53">
        <f>SUMIF($Y$5:$Y156,$Y166,AD$5:AD156)</f>
        <v>0</v>
      </c>
      <c r="AE166" s="54">
        <f>SUMIF($Y$5:$Y156,$Y166,AE$5:AE156)</f>
        <v>0</v>
      </c>
      <c r="AF166" s="51"/>
      <c r="AI166" s="193" t="str">
        <f t="shared" si="614"/>
        <v>LANL</v>
      </c>
      <c r="AJ166" s="63">
        <f>SUMIF($Y$5:$Y156,$Y166,AJ$5:AJ156)</f>
        <v>0</v>
      </c>
      <c r="AK166" s="53">
        <f>SUMIF($Y$5:$Y156,$Y166,AK$5:AK156)</f>
        <v>0</v>
      </c>
      <c r="AL166" s="53">
        <f>SUMIF($Y$5:$Y156,$Y166,AL$5:AL156)</f>
        <v>0</v>
      </c>
      <c r="AM166" s="53">
        <f>SUMIF($Y$5:$Y156,$Y166,AM$5:AM156)</f>
        <v>0</v>
      </c>
      <c r="AN166" s="53">
        <f>SUMIF($Y$5:$Y156,$Y166,AN$5:AN156)</f>
        <v>0</v>
      </c>
      <c r="AO166" s="54">
        <f>SUMIF($Y$5:$Y156,$Y166,AO$5:AO156)</f>
        <v>0</v>
      </c>
      <c r="AP166" s="62"/>
    </row>
    <row r="167" spans="1:42" ht="15.75">
      <c r="A167" s="15"/>
      <c r="B167" s="15"/>
      <c r="C167" s="15"/>
      <c r="D167" s="15"/>
      <c r="E167" s="122"/>
      <c r="F167" s="122"/>
      <c r="G167" s="153"/>
      <c r="Z167" s="277" t="s">
        <v>59</v>
      </c>
      <c r="AA167" s="278"/>
      <c r="AB167" s="278"/>
      <c r="AC167" s="278"/>
      <c r="AD167" s="278"/>
      <c r="AE167" s="278"/>
      <c r="AF167" s="279"/>
      <c r="AI167" s="193"/>
      <c r="AJ167" s="280" t="s">
        <v>103</v>
      </c>
      <c r="AK167" s="278"/>
      <c r="AL167" s="278"/>
      <c r="AM167" s="278"/>
      <c r="AN167" s="278"/>
      <c r="AO167" s="278"/>
      <c r="AP167" s="281"/>
    </row>
    <row r="168" spans="1:42">
      <c r="A168" s="15"/>
      <c r="B168" s="15"/>
      <c r="C168" s="15"/>
      <c r="D168" s="15"/>
      <c r="E168" s="122"/>
      <c r="F168" s="122"/>
      <c r="G168" s="153"/>
      <c r="Z168" s="50" t="s">
        <v>54</v>
      </c>
      <c r="AA168" s="22" t="s">
        <v>55</v>
      </c>
      <c r="AB168" s="22" t="s">
        <v>39</v>
      </c>
      <c r="AC168" s="22" t="s">
        <v>31</v>
      </c>
      <c r="AD168" s="22" t="s">
        <v>32</v>
      </c>
      <c r="AE168" s="22" t="s">
        <v>16</v>
      </c>
      <c r="AF168" s="55" t="s">
        <v>56</v>
      </c>
      <c r="AI168" s="193"/>
      <c r="AJ168" s="61" t="s">
        <v>54</v>
      </c>
      <c r="AK168" s="22" t="s">
        <v>55</v>
      </c>
      <c r="AL168" s="22" t="s">
        <v>39</v>
      </c>
      <c r="AM168" s="22" t="s">
        <v>31</v>
      </c>
      <c r="AN168" s="22" t="s">
        <v>32</v>
      </c>
      <c r="AO168" s="22" t="s">
        <v>16</v>
      </c>
      <c r="AP168" s="64" t="s">
        <v>56</v>
      </c>
    </row>
    <row r="169" spans="1:42">
      <c r="A169" s="15"/>
      <c r="B169" s="15"/>
      <c r="C169" s="15"/>
      <c r="D169" s="15"/>
      <c r="E169" s="122"/>
      <c r="F169" s="122"/>
      <c r="G169" s="150"/>
      <c r="Y169" s="44">
        <f>Y162</f>
        <v>2008</v>
      </c>
      <c r="Z169" s="56">
        <f>Shop*Z162</f>
        <v>0</v>
      </c>
      <c r="AA169" s="54">
        <f>M_Tech*AA162</f>
        <v>0</v>
      </c>
      <c r="AB169" s="54">
        <f>CMM*AB162</f>
        <v>0</v>
      </c>
      <c r="AC169" s="54">
        <f>ENG*AC162</f>
        <v>0</v>
      </c>
      <c r="AD169" s="54">
        <f>DES*AD162</f>
        <v>0</v>
      </c>
      <c r="AE169" s="54">
        <f>AE162</f>
        <v>0</v>
      </c>
      <c r="AF169" s="57">
        <f>SUM(Z169:AE169)</f>
        <v>0</v>
      </c>
      <c r="AI169" s="193">
        <f>AI162</f>
        <v>2008</v>
      </c>
      <c r="AJ169" s="65">
        <f>Shop*AJ162</f>
        <v>0</v>
      </c>
      <c r="AK169" s="54">
        <f>M_Tech*AK162</f>
        <v>0</v>
      </c>
      <c r="AL169" s="54">
        <f>CMM*AL162</f>
        <v>0</v>
      </c>
      <c r="AM169" s="54">
        <f>ENG*AM162</f>
        <v>0</v>
      </c>
      <c r="AN169" s="54">
        <f>DES*AN162</f>
        <v>0</v>
      </c>
      <c r="AO169" s="54">
        <f>AO162</f>
        <v>0</v>
      </c>
      <c r="AP169" s="66">
        <f>SUM(AJ169:AO169)</f>
        <v>0</v>
      </c>
    </row>
    <row r="170" spans="1:42">
      <c r="A170" s="15"/>
      <c r="B170" s="15"/>
      <c r="C170" s="15"/>
      <c r="D170" s="15"/>
      <c r="E170" s="122"/>
      <c r="F170" s="122"/>
      <c r="G170" s="150"/>
      <c r="Y170" s="44">
        <f>Y163</f>
        <v>2009</v>
      </c>
      <c r="Z170" s="56">
        <f>Shop*Z163</f>
        <v>63500</v>
      </c>
      <c r="AA170" s="54">
        <f>M_Tech*AA163</f>
        <v>73476</v>
      </c>
      <c r="AB170" s="54">
        <f>CMM*AB163</f>
        <v>11684</v>
      </c>
      <c r="AC170" s="54">
        <f>ENG*AC163</f>
        <v>62400</v>
      </c>
      <c r="AD170" s="54">
        <f>DES*AD163</f>
        <v>0</v>
      </c>
      <c r="AE170" s="54">
        <f>AE163</f>
        <v>43492.5</v>
      </c>
      <c r="AF170" s="57">
        <f t="shared" ref="AF170:AF171" si="615">SUM(Z170:AE170)</f>
        <v>254552.5</v>
      </c>
      <c r="AI170" s="193">
        <f>AI163</f>
        <v>2009</v>
      </c>
      <c r="AJ170" s="65">
        <f>Shop*AJ163</f>
        <v>9144</v>
      </c>
      <c r="AK170" s="54">
        <f>M_Tech*AK163</f>
        <v>23049</v>
      </c>
      <c r="AL170" s="54">
        <f>CMM*AL163</f>
        <v>14224</v>
      </c>
      <c r="AM170" s="54">
        <f>ENG*AM163</f>
        <v>13800</v>
      </c>
      <c r="AN170" s="54">
        <f>DES*AN163</f>
        <v>0</v>
      </c>
      <c r="AO170" s="54">
        <f>AO163</f>
        <v>2225</v>
      </c>
      <c r="AP170" s="66">
        <f t="shared" ref="AP170:AP171" si="616">SUM(AJ170:AO170)</f>
        <v>62442</v>
      </c>
    </row>
    <row r="171" spans="1:42" ht="13.5" thickBot="1">
      <c r="A171" s="15"/>
      <c r="B171" s="15"/>
      <c r="C171" s="15"/>
      <c r="D171" s="15"/>
      <c r="E171" s="122"/>
      <c r="F171" s="122"/>
      <c r="G171" s="150"/>
      <c r="Y171" s="44">
        <f>Y164</f>
        <v>2010</v>
      </c>
      <c r="Z171" s="58">
        <f>Shop*Z164</f>
        <v>0</v>
      </c>
      <c r="AA171" s="59">
        <f>M_Tech*AA164</f>
        <v>0</v>
      </c>
      <c r="AB171" s="59">
        <f>CMM*AB164</f>
        <v>0</v>
      </c>
      <c r="AC171" s="59">
        <f>ENG*AC164</f>
        <v>0</v>
      </c>
      <c r="AD171" s="59">
        <f>DES*AD164</f>
        <v>0</v>
      </c>
      <c r="AE171" s="59">
        <f>AE164</f>
        <v>0</v>
      </c>
      <c r="AF171" s="60">
        <f t="shared" si="615"/>
        <v>0</v>
      </c>
      <c r="AI171" s="193">
        <f>AI164</f>
        <v>2010</v>
      </c>
      <c r="AJ171" s="67">
        <f>Shop*AJ164</f>
        <v>0</v>
      </c>
      <c r="AK171" s="68">
        <f>M_Tech*AK164</f>
        <v>0</v>
      </c>
      <c r="AL171" s="68">
        <f>CMM*AL164</f>
        <v>0</v>
      </c>
      <c r="AM171" s="68">
        <f>ENG*AM164</f>
        <v>0</v>
      </c>
      <c r="AN171" s="68">
        <f>DES*AN164</f>
        <v>0</v>
      </c>
      <c r="AO171" s="68">
        <f>AO164</f>
        <v>0</v>
      </c>
      <c r="AP171" s="69">
        <f t="shared" si="616"/>
        <v>0</v>
      </c>
    </row>
    <row r="172" spans="1:42" ht="15.75" thickTop="1">
      <c r="A172" s="15"/>
      <c r="B172" s="15"/>
      <c r="C172" s="15"/>
      <c r="D172" s="15"/>
      <c r="E172" s="122"/>
      <c r="F172" s="122"/>
      <c r="G172" s="150"/>
      <c r="Z172" s="31"/>
      <c r="AA172" s="31"/>
      <c r="AB172" s="31"/>
      <c r="AC172" s="31"/>
      <c r="AD172" s="31"/>
      <c r="AE172" s="174" t="s">
        <v>88</v>
      </c>
      <c r="AF172" s="174">
        <f>SUM(AF169:AF171)</f>
        <v>254552.5</v>
      </c>
      <c r="AJ172" s="31"/>
      <c r="AK172" s="31"/>
      <c r="AL172" s="31"/>
      <c r="AM172" s="31"/>
      <c r="AN172" s="31"/>
      <c r="AO172" s="175" t="s">
        <v>85</v>
      </c>
      <c r="AP172" s="174">
        <f>SUM(AP169:AP171)</f>
        <v>62442</v>
      </c>
    </row>
    <row r="173" spans="1:42" ht="15">
      <c r="A173" s="15"/>
      <c r="B173" s="15"/>
      <c r="C173" s="15"/>
      <c r="D173" s="15"/>
      <c r="E173" s="122"/>
      <c r="F173" s="122"/>
      <c r="G173" s="150"/>
      <c r="Z173" s="31"/>
      <c r="AA173" s="31"/>
      <c r="AB173" s="31"/>
      <c r="AC173" s="31"/>
      <c r="AD173" s="31"/>
      <c r="AE173" s="174"/>
      <c r="AF173" s="174"/>
      <c r="AJ173" s="31"/>
      <c r="AK173" s="31"/>
      <c r="AL173" s="31"/>
      <c r="AM173" s="31"/>
      <c r="AN173" s="31"/>
      <c r="AO173" s="175" t="s">
        <v>102</v>
      </c>
      <c r="AP173" s="196">
        <f>AP172/AF172</f>
        <v>0.24530106755973718</v>
      </c>
    </row>
    <row r="174" spans="1:42" ht="13.5" thickBot="1">
      <c r="A174" s="15"/>
      <c r="B174" s="35"/>
      <c r="C174" s="15"/>
      <c r="D174" s="15"/>
      <c r="E174" s="122"/>
      <c r="F174" s="122"/>
      <c r="G174" s="150"/>
    </row>
    <row r="175" spans="1:42" ht="15.75" thickTop="1">
      <c r="A175" s="15"/>
      <c r="B175" s="15"/>
      <c r="C175" s="15"/>
      <c r="D175" s="36"/>
      <c r="E175" s="125"/>
      <c r="F175" s="122"/>
      <c r="G175" s="150"/>
      <c r="Z175" s="288" t="s">
        <v>105</v>
      </c>
      <c r="AA175" s="289"/>
      <c r="AB175" s="289"/>
      <c r="AC175" s="289"/>
      <c r="AD175" s="289"/>
      <c r="AE175" s="289"/>
      <c r="AF175" s="290"/>
      <c r="AH175" s="190"/>
      <c r="AI175" s="44"/>
      <c r="AJ175" s="288" t="s">
        <v>106</v>
      </c>
      <c r="AK175" s="289"/>
      <c r="AL175" s="289"/>
      <c r="AM175" s="289"/>
      <c r="AN175" s="289"/>
      <c r="AO175" s="289"/>
      <c r="AP175" s="290"/>
    </row>
    <row r="176" spans="1:42">
      <c r="A176" s="15"/>
      <c r="B176" s="15"/>
      <c r="C176" s="15"/>
      <c r="D176" s="15"/>
      <c r="E176" s="122"/>
      <c r="F176" s="122"/>
      <c r="G176" s="150"/>
      <c r="Z176" s="50" t="s">
        <v>11</v>
      </c>
      <c r="AA176" s="22" t="s">
        <v>10</v>
      </c>
      <c r="AB176" s="22" t="s">
        <v>39</v>
      </c>
      <c r="AC176" s="22" t="s">
        <v>31</v>
      </c>
      <c r="AD176" s="22" t="s">
        <v>32</v>
      </c>
      <c r="AE176" s="22" t="s">
        <v>16</v>
      </c>
      <c r="AF176" s="51"/>
      <c r="AH176" s="190"/>
      <c r="AI176" s="44"/>
      <c r="AJ176" s="50" t="s">
        <v>11</v>
      </c>
      <c r="AK176" s="22" t="s">
        <v>10</v>
      </c>
      <c r="AL176" s="22" t="s">
        <v>39</v>
      </c>
      <c r="AM176" s="22" t="s">
        <v>31</v>
      </c>
      <c r="AN176" s="22" t="s">
        <v>32</v>
      </c>
      <c r="AO176" s="22" t="s">
        <v>16</v>
      </c>
      <c r="AP176" s="51"/>
    </row>
    <row r="177" spans="1:47">
      <c r="A177" s="15"/>
      <c r="B177" s="15"/>
      <c r="C177" s="15"/>
      <c r="D177" s="15"/>
      <c r="E177" s="125"/>
      <c r="F177" s="122"/>
      <c r="G177" s="150"/>
      <c r="S177" s="190" t="s">
        <v>96</v>
      </c>
      <c r="Y177" s="44">
        <v>2008</v>
      </c>
      <c r="Z177" s="52">
        <f>SUMIF($S$5:$S153,CONCATENATE($S177,$Y177),Z$5:Z153)</f>
        <v>0</v>
      </c>
      <c r="AA177" s="53">
        <f>SUMIF($S$5:$S153,CONCATENATE($S177,$Y177),AA$5:AA153)</f>
        <v>0</v>
      </c>
      <c r="AB177" s="53">
        <f>SUMIF($S$5:$S153,CONCATENATE($S177,$Y177),AB$5:AB153)</f>
        <v>0</v>
      </c>
      <c r="AC177" s="53">
        <f>SUMIF($S$5:$S153,CONCATENATE($S177,$Y177),AC$5:AC153)</f>
        <v>0</v>
      </c>
      <c r="AD177" s="53">
        <f>SUMIF($S$5:$S153,CONCATENATE($S177,$Y177),AD$5:AD153)</f>
        <v>0</v>
      </c>
      <c r="AE177" s="53">
        <f>SUMIF($S$5:$S153,CONCATENATE($S177,$Y177),AE$5:AE153)</f>
        <v>0</v>
      </c>
      <c r="AF177" s="51"/>
      <c r="AH177" s="190" t="s">
        <v>97</v>
      </c>
      <c r="AI177" s="44">
        <v>2008</v>
      </c>
      <c r="AJ177" s="52">
        <f>SUMIF($S$5:$S153,CONCATENATE($AH177,$AI177),AJ$5:AJ153)</f>
        <v>0</v>
      </c>
      <c r="AK177" s="53">
        <f>SUMIF($S$5:$S153,CONCATENATE($AH177,$AI177),AK$5:AK153)</f>
        <v>0</v>
      </c>
      <c r="AL177" s="53">
        <f>SUMIF($S$5:$S153,CONCATENATE($AH177,$AI177),AL$5:AL153)</f>
        <v>0</v>
      </c>
      <c r="AM177" s="53">
        <f>SUMIF($S$5:$S153,CONCATENATE($AH177,$AI177),AM$5:AM153)</f>
        <v>0</v>
      </c>
      <c r="AN177" s="53">
        <f>SUMIF($S$5:$S153,CONCATENATE($AH177,$AI177),AN$5:AN153)</f>
        <v>0</v>
      </c>
      <c r="AO177" s="53">
        <f>SUMIF($S$5:$S153,CONCATENATE($AH177,$AI177),AO$5:AO153)</f>
        <v>0</v>
      </c>
      <c r="AP177" s="51"/>
    </row>
    <row r="178" spans="1:47">
      <c r="A178" s="15"/>
      <c r="B178" s="15"/>
      <c r="C178" s="15"/>
      <c r="D178" s="15"/>
      <c r="E178" s="122"/>
      <c r="F178" s="122"/>
      <c r="G178" s="150"/>
      <c r="S178" s="190" t="s">
        <v>96</v>
      </c>
      <c r="Y178" s="44">
        <v>2009</v>
      </c>
      <c r="Z178" s="52">
        <f>SUMIF($S$5:$S153,CONCATENATE($S178,$Y178),Z$5:Z153)</f>
        <v>0</v>
      </c>
      <c r="AA178" s="53">
        <f>SUMIF($S$5:$S153,CONCATENATE($S178,$Y178),AA$5:AA153)</f>
        <v>0</v>
      </c>
      <c r="AB178" s="53">
        <f>SUMIF($S$5:$S153,CONCATENATE($S178,$Y178),AB$5:AB153)</f>
        <v>0</v>
      </c>
      <c r="AC178" s="53">
        <f>SUMIF($S$5:$S153,CONCATENATE($S178,$Y178),AC$5:AC153)</f>
        <v>0</v>
      </c>
      <c r="AD178" s="53">
        <f>SUMIF($S$5:$S153,CONCATENATE($S178,$Y178),AD$5:AD153)</f>
        <v>0</v>
      </c>
      <c r="AE178" s="53">
        <f>SUMIF($S$5:$S153,CONCATENATE($S178,$Y178),AE$5:AE153)</f>
        <v>0</v>
      </c>
      <c r="AF178" s="51"/>
      <c r="AH178" s="190" t="s">
        <v>97</v>
      </c>
      <c r="AI178" s="44">
        <v>2009</v>
      </c>
      <c r="AJ178" s="52">
        <f>SUMIF($S$5:$S153,CONCATENATE($AH178,$AI178),AJ$5:AJ153)</f>
        <v>0</v>
      </c>
      <c r="AK178" s="53">
        <f>SUMIF($S$5:$S153,CONCATENATE($AH178,$AI178),AK$5:AK153)</f>
        <v>0</v>
      </c>
      <c r="AL178" s="53">
        <f>SUMIF($S$5:$S153,CONCATENATE($AH178,$AI178),AL$5:AL153)</f>
        <v>0</v>
      </c>
      <c r="AM178" s="53">
        <f>SUMIF($S$5:$S153,CONCATENATE($AH178,$AI178),AM$5:AM153)</f>
        <v>0</v>
      </c>
      <c r="AN178" s="53">
        <f>SUMIF($S$5:$S153,CONCATENATE($AH178,$AI178),AN$5:AN153)</f>
        <v>0</v>
      </c>
      <c r="AO178" s="53">
        <f>SUMIF($S$5:$S153,CONCATENATE($AH178,$AI178),AO$5:AO153)</f>
        <v>0</v>
      </c>
      <c r="AP178" s="51"/>
    </row>
    <row r="179" spans="1:47">
      <c r="A179" s="15"/>
      <c r="B179" s="15"/>
      <c r="C179" s="15"/>
      <c r="D179" s="15"/>
      <c r="E179" s="125"/>
      <c r="F179" s="122"/>
      <c r="G179" s="150"/>
      <c r="S179" s="190" t="s">
        <v>96</v>
      </c>
      <c r="Y179" s="44">
        <v>2010</v>
      </c>
      <c r="Z179" s="52">
        <f>SUMIF($S$5:$S153,CONCATENATE($S179,$Y179),Z$5:Z153)</f>
        <v>0</v>
      </c>
      <c r="AA179" s="53">
        <f>SUMIF($S$5:$S153,CONCATENATE($S179,$Y179),AA$5:AA153)</f>
        <v>0</v>
      </c>
      <c r="AB179" s="53">
        <f>SUMIF($S$5:$S153,CONCATENATE($S179,$Y179),AB$5:AB153)</f>
        <v>0</v>
      </c>
      <c r="AC179" s="53">
        <f>SUMIF($S$5:$S153,CONCATENATE($S179,$Y179),AC$5:AC153)</f>
        <v>0</v>
      </c>
      <c r="AD179" s="53">
        <f>SUMIF($S$5:$S153,CONCATENATE($S179,$Y179),AD$5:AD153)</f>
        <v>0</v>
      </c>
      <c r="AE179" s="53">
        <f>SUMIF($S$5:$S153,CONCATENATE($S179,$Y179),AE$5:AE153)</f>
        <v>0</v>
      </c>
      <c r="AF179" s="51"/>
      <c r="AH179" s="190" t="s">
        <v>97</v>
      </c>
      <c r="AI179" s="44">
        <v>2010</v>
      </c>
      <c r="AJ179" s="52">
        <f>SUMIF($S$5:$S153,CONCATENATE($AH179,$AI179),AJ$5:AJ153)</f>
        <v>0</v>
      </c>
      <c r="AK179" s="53">
        <f>SUMIF($S$5:$S153,CONCATENATE($AH179,$AI179),AK$5:AK153)</f>
        <v>0</v>
      </c>
      <c r="AL179" s="53">
        <f>SUMIF($S$5:$S153,CONCATENATE($AH179,$AI179),AL$5:AL153)</f>
        <v>0</v>
      </c>
      <c r="AM179" s="53">
        <f>SUMIF($S$5:$S153,CONCATENATE($AH179,$AI179),AM$5:AM153)</f>
        <v>0</v>
      </c>
      <c r="AN179" s="53">
        <f>SUMIF($S$5:$S153,CONCATENATE($AH179,$AI179),AN$5:AN153)</f>
        <v>0</v>
      </c>
      <c r="AO179" s="53">
        <f>SUMIF($S$5:$S153,CONCATENATE($AH179,$AI179),AO$5:AO153)</f>
        <v>0</v>
      </c>
      <c r="AP179" s="51"/>
    </row>
    <row r="180" spans="1:47">
      <c r="A180" s="15"/>
      <c r="B180" s="15"/>
      <c r="C180" s="15"/>
      <c r="D180" s="15"/>
      <c r="E180" s="122"/>
      <c r="F180" s="122"/>
      <c r="G180" s="150"/>
      <c r="S180" s="190" t="s">
        <v>96</v>
      </c>
      <c r="Y180" s="46" t="s">
        <v>57</v>
      </c>
      <c r="Z180" s="52">
        <f>SUMIF($S$5:$S153,CONCATENATE($S180,$Y180),Z$5:Z153)</f>
        <v>0</v>
      </c>
      <c r="AA180" s="53">
        <f>SUMIF($S$5:$S153,CONCATENATE($S180,$Y180),AA$5:AA153)</f>
        <v>0</v>
      </c>
      <c r="AB180" s="53">
        <f>SUMIF($S$5:$S153,CONCATENATE($S180,$Y180),AB$5:AB153)</f>
        <v>0</v>
      </c>
      <c r="AC180" s="53">
        <f>SUMIF($S$5:$S153,CONCATENATE($S180,$Y180),AC$5:AC153)</f>
        <v>0</v>
      </c>
      <c r="AD180" s="53">
        <f>SUMIF($S$5:$S153,CONCATENATE($S180,$Y180),AD$5:AD153)</f>
        <v>0</v>
      </c>
      <c r="AE180" s="53">
        <f>SUMIF($S$5:$S153,CONCATENATE($S180,$Y180),AE$5:AE153)</f>
        <v>0</v>
      </c>
      <c r="AF180" s="51"/>
      <c r="AH180" s="190" t="s">
        <v>97</v>
      </c>
      <c r="AI180" s="46" t="s">
        <v>57</v>
      </c>
      <c r="AJ180" s="52">
        <f>SUMIF($S$5:$S153,CONCATENATE($AH180,$AI180),AJ$5:AJ153)</f>
        <v>0</v>
      </c>
      <c r="AK180" s="53">
        <f>SUMIF($S$5:$S153,CONCATENATE($AH180,$AI180),AK$5:AK153)</f>
        <v>0</v>
      </c>
      <c r="AL180" s="53">
        <f>SUMIF($S$5:$S153,CONCATENATE($AH180,$AI180),AL$5:AL153)</f>
        <v>0</v>
      </c>
      <c r="AM180" s="53">
        <f>SUMIF($S$5:$S153,CONCATENATE($AH180,$AI180),AM$5:AM153)</f>
        <v>0</v>
      </c>
      <c r="AN180" s="53">
        <f>SUMIF($S$5:$S153,CONCATENATE($AH180,$AI180),AN$5:AN153)</f>
        <v>0</v>
      </c>
      <c r="AO180" s="53">
        <f>SUMIF($S$5:$S153,CONCATENATE($AH180,$AI180),AO$5:AO153)</f>
        <v>0</v>
      </c>
      <c r="AP180" s="51"/>
    </row>
    <row r="181" spans="1:47">
      <c r="A181" s="15"/>
      <c r="B181" s="15"/>
      <c r="C181" s="15"/>
      <c r="D181" s="36"/>
      <c r="E181" s="125"/>
      <c r="F181" s="122"/>
      <c r="G181" s="154"/>
      <c r="S181" s="190" t="s">
        <v>96</v>
      </c>
      <c r="Y181" s="46" t="s">
        <v>58</v>
      </c>
      <c r="Z181" s="52">
        <f>SUMIF($S$5:$S153,CONCATENATE($S181,$Y181),Z$5:Z153)</f>
        <v>0</v>
      </c>
      <c r="AA181" s="53">
        <f>SUMIF($S$5:$S153,CONCATENATE($S181,$Y181),AA$5:AA153)</f>
        <v>0</v>
      </c>
      <c r="AB181" s="53">
        <f>SUMIF($S$5:$S153,CONCATENATE($S181,$Y181),AB$5:AB153)</f>
        <v>0</v>
      </c>
      <c r="AC181" s="53">
        <f>SUMIF($S$5:$S153,CONCATENATE($S181,$Y181),AC$5:AC153)</f>
        <v>0</v>
      </c>
      <c r="AD181" s="53">
        <f>SUMIF($S$5:$S153,CONCATENATE($S181,$Y181),AD$5:AD153)</f>
        <v>0</v>
      </c>
      <c r="AE181" s="53">
        <f>SUMIF($S$5:$S153,CONCATENATE($S181,$Y181),AE$5:AE153)</f>
        <v>0</v>
      </c>
      <c r="AF181" s="51"/>
      <c r="AH181" s="190" t="s">
        <v>97</v>
      </c>
      <c r="AI181" s="46" t="s">
        <v>58</v>
      </c>
      <c r="AJ181" s="52">
        <f>SUMIF($S$5:$S153,CONCATENATE($AH181,$AI181),AJ$5:AJ153)</f>
        <v>0</v>
      </c>
      <c r="AK181" s="53">
        <f>SUMIF($S$5:$S153,CONCATENATE($AH181,$AI181),AK$5:AK153)</f>
        <v>0</v>
      </c>
      <c r="AL181" s="53">
        <f>SUMIF($S$5:$S153,CONCATENATE($AH181,$AI181),AL$5:AL153)</f>
        <v>0</v>
      </c>
      <c r="AM181" s="53">
        <f>SUMIF($S$5:$S153,CONCATENATE($AH181,$AI181),AM$5:AM153)</f>
        <v>0</v>
      </c>
      <c r="AN181" s="53">
        <f>SUMIF($S$5:$S153,CONCATENATE($AH181,$AI181),AN$5:AN153)</f>
        <v>0</v>
      </c>
      <c r="AO181" s="53">
        <f>SUMIF($S$5:$S153,CONCATENATE($AH181,$AI181),AO$5:AO153)</f>
        <v>0</v>
      </c>
      <c r="AP181" s="51"/>
    </row>
    <row r="182" spans="1:47" ht="15.75">
      <c r="A182" s="15"/>
      <c r="B182" s="15"/>
      <c r="C182" s="15"/>
      <c r="D182" s="32"/>
      <c r="E182" s="122"/>
      <c r="F182" s="122"/>
      <c r="G182" s="150"/>
      <c r="Z182" s="277" t="s">
        <v>59</v>
      </c>
      <c r="AA182" s="278"/>
      <c r="AB182" s="278"/>
      <c r="AC182" s="278"/>
      <c r="AD182" s="278"/>
      <c r="AE182" s="278"/>
      <c r="AF182" s="279"/>
      <c r="AH182" s="190"/>
      <c r="AI182" s="44"/>
      <c r="AJ182" s="277" t="s">
        <v>59</v>
      </c>
      <c r="AK182" s="278"/>
      <c r="AL182" s="278"/>
      <c r="AM182" s="278"/>
      <c r="AN182" s="278"/>
      <c r="AO182" s="278"/>
      <c r="AP182" s="279"/>
      <c r="AR182" s="52"/>
    </row>
    <row r="183" spans="1:47">
      <c r="A183" s="15"/>
      <c r="B183" s="15"/>
      <c r="C183" s="15"/>
      <c r="D183" s="32"/>
      <c r="E183" s="126"/>
      <c r="F183" s="131"/>
      <c r="G183" s="150"/>
      <c r="Z183" s="50" t="s">
        <v>54</v>
      </c>
      <c r="AA183" s="22" t="s">
        <v>55</v>
      </c>
      <c r="AB183" s="22" t="s">
        <v>39</v>
      </c>
      <c r="AC183" s="22" t="s">
        <v>31</v>
      </c>
      <c r="AD183" s="22" t="s">
        <v>32</v>
      </c>
      <c r="AE183" s="22" t="s">
        <v>16</v>
      </c>
      <c r="AF183" s="55" t="s">
        <v>56</v>
      </c>
      <c r="AH183" s="190"/>
      <c r="AI183" s="44"/>
      <c r="AJ183" s="50" t="s">
        <v>54</v>
      </c>
      <c r="AK183" s="22" t="s">
        <v>55</v>
      </c>
      <c r="AL183" s="22" t="s">
        <v>39</v>
      </c>
      <c r="AM183" s="22" t="s">
        <v>31</v>
      </c>
      <c r="AN183" s="22" t="s">
        <v>32</v>
      </c>
      <c r="AO183" s="22" t="s">
        <v>16</v>
      </c>
      <c r="AP183" s="55" t="s">
        <v>56</v>
      </c>
    </row>
    <row r="184" spans="1:47">
      <c r="A184" s="15"/>
      <c r="B184" s="15"/>
      <c r="C184" s="15"/>
      <c r="D184" s="15"/>
      <c r="E184" s="126"/>
      <c r="F184" s="122"/>
      <c r="G184" s="150"/>
      <c r="S184" s="190" t="s">
        <v>96</v>
      </c>
      <c r="Y184" s="44">
        <f>Y177</f>
        <v>2008</v>
      </c>
      <c r="Z184" s="56">
        <f>Shop*Z177</f>
        <v>0</v>
      </c>
      <c r="AA184" s="54">
        <f>M_Tech*AA177</f>
        <v>0</v>
      </c>
      <c r="AB184" s="54">
        <f>CMM*AB177</f>
        <v>0</v>
      </c>
      <c r="AC184" s="54">
        <f>ENG*AC177</f>
        <v>0</v>
      </c>
      <c r="AD184" s="54">
        <f>DES*AD177</f>
        <v>0</v>
      </c>
      <c r="AE184" s="54">
        <f>AE177</f>
        <v>0</v>
      </c>
      <c r="AF184" s="57">
        <f>SUM(Z184:AE184)</f>
        <v>0</v>
      </c>
      <c r="AH184" s="190" t="s">
        <v>97</v>
      </c>
      <c r="AI184" s="44">
        <f>AI177</f>
        <v>2008</v>
      </c>
      <c r="AJ184" s="56">
        <f>Shop*AJ177</f>
        <v>0</v>
      </c>
      <c r="AK184" s="54">
        <f>M_Tech*AK177</f>
        <v>0</v>
      </c>
      <c r="AL184" s="54">
        <f>CMM*AL177</f>
        <v>0</v>
      </c>
      <c r="AM184" s="54">
        <f>ENG*AM177</f>
        <v>0</v>
      </c>
      <c r="AN184" s="54">
        <f>DES*AN177</f>
        <v>0</v>
      </c>
      <c r="AO184" s="54">
        <f>AO177</f>
        <v>0</v>
      </c>
      <c r="AP184" s="57">
        <f>SUM(AJ184:AO184)</f>
        <v>0</v>
      </c>
    </row>
    <row r="185" spans="1:47">
      <c r="S185" s="190" t="s">
        <v>96</v>
      </c>
      <c r="Y185" s="44">
        <f>Y178</f>
        <v>2009</v>
      </c>
      <c r="Z185" s="56">
        <f>Shop*Z178</f>
        <v>0</v>
      </c>
      <c r="AA185" s="54">
        <f>M_Tech*AA178</f>
        <v>0</v>
      </c>
      <c r="AB185" s="54">
        <f>CMM*AB178</f>
        <v>0</v>
      </c>
      <c r="AC185" s="54">
        <f>ENG*AC178</f>
        <v>0</v>
      </c>
      <c r="AD185" s="54">
        <f>DES*AD178</f>
        <v>0</v>
      </c>
      <c r="AE185" s="54">
        <f>AE178</f>
        <v>0</v>
      </c>
      <c r="AF185" s="57">
        <f t="shared" ref="AF185:AF186" si="617">SUM(Z185:AE185)</f>
        <v>0</v>
      </c>
      <c r="AH185" s="190" t="s">
        <v>97</v>
      </c>
      <c r="AI185" s="46">
        <v>2009</v>
      </c>
      <c r="AJ185" s="56">
        <f>Shop*AJ178</f>
        <v>0</v>
      </c>
      <c r="AK185" s="54">
        <f>M_Tech*AK178</f>
        <v>0</v>
      </c>
      <c r="AL185" s="54">
        <f>CMM*AL178</f>
        <v>0</v>
      </c>
      <c r="AM185" s="54">
        <f>ENG*AM178</f>
        <v>0</v>
      </c>
      <c r="AN185" s="54">
        <f>DES*AN178</f>
        <v>0</v>
      </c>
      <c r="AO185" s="54">
        <f>AO178</f>
        <v>0</v>
      </c>
      <c r="AP185" s="57">
        <f t="shared" ref="AP185:AP186" si="618">SUM(AJ185:AO185)</f>
        <v>0</v>
      </c>
    </row>
    <row r="186" spans="1:47" ht="13.5" thickBot="1">
      <c r="S186" s="190" t="s">
        <v>96</v>
      </c>
      <c r="Y186" s="44">
        <f>Y179</f>
        <v>2010</v>
      </c>
      <c r="Z186" s="58">
        <f>Shop*Z179</f>
        <v>0</v>
      </c>
      <c r="AA186" s="59">
        <f>M_Tech*AA179</f>
        <v>0</v>
      </c>
      <c r="AB186" s="59">
        <f>CMM*AB179</f>
        <v>0</v>
      </c>
      <c r="AC186" s="59">
        <f>ENG*AC179</f>
        <v>0</v>
      </c>
      <c r="AD186" s="59">
        <f>DES*AD179</f>
        <v>0</v>
      </c>
      <c r="AE186" s="59">
        <f>AE179</f>
        <v>0</v>
      </c>
      <c r="AF186" s="60">
        <f t="shared" si="617"/>
        <v>0</v>
      </c>
      <c r="AH186" s="190" t="s">
        <v>97</v>
      </c>
      <c r="AI186" s="44">
        <f>AI179</f>
        <v>2010</v>
      </c>
      <c r="AJ186" s="58">
        <f>Shop*AJ179</f>
        <v>0</v>
      </c>
      <c r="AK186" s="59">
        <f>M_Tech*AK179</f>
        <v>0</v>
      </c>
      <c r="AL186" s="59">
        <f>CMM*AL179</f>
        <v>0</v>
      </c>
      <c r="AM186" s="59">
        <f>ENG*AM179</f>
        <v>0</v>
      </c>
      <c r="AN186" s="59">
        <f>DES*AN179</f>
        <v>0</v>
      </c>
      <c r="AO186" s="59">
        <f>AO179</f>
        <v>0</v>
      </c>
      <c r="AP186" s="60">
        <f t="shared" si="618"/>
        <v>0</v>
      </c>
    </row>
    <row r="187" spans="1:47" ht="15.75" thickTop="1">
      <c r="AE187" s="174" t="s">
        <v>88</v>
      </c>
      <c r="AF187" s="174">
        <f>SUM(AF184:AF186)</f>
        <v>0</v>
      </c>
      <c r="AH187" s="190"/>
      <c r="AI187" s="13"/>
      <c r="AJ187" s="16"/>
      <c r="AK187" s="16"/>
      <c r="AL187" s="16"/>
      <c r="AM187" s="16"/>
      <c r="AN187" s="44"/>
      <c r="AO187" s="175" t="s">
        <v>85</v>
      </c>
      <c r="AP187" s="174">
        <f>SUM(AP184:AP186)</f>
        <v>0</v>
      </c>
      <c r="AT187" s="174"/>
      <c r="AU187" s="174"/>
    </row>
    <row r="188" spans="1:47">
      <c r="AO188" s="194" t="s">
        <v>102</v>
      </c>
      <c r="AP188" s="196" t="e">
        <f>AP187/AF187</f>
        <v>#DIV/0!</v>
      </c>
    </row>
    <row r="189" spans="1:47" ht="13.5" thickBot="1"/>
    <row r="190" spans="1:47" ht="15.75" thickTop="1">
      <c r="Z190" s="288" t="s">
        <v>100</v>
      </c>
      <c r="AA190" s="289"/>
      <c r="AB190" s="289"/>
      <c r="AC190" s="289"/>
      <c r="AD190" s="289"/>
      <c r="AE190" s="289"/>
      <c r="AF190" s="290"/>
      <c r="AH190" s="190"/>
      <c r="AI190" s="44"/>
      <c r="AJ190" s="288" t="s">
        <v>101</v>
      </c>
      <c r="AK190" s="289"/>
      <c r="AL190" s="289"/>
      <c r="AM190" s="289"/>
      <c r="AN190" s="289"/>
      <c r="AO190" s="289"/>
      <c r="AP190" s="290"/>
    </row>
    <row r="191" spans="1:47">
      <c r="Z191" s="50" t="s">
        <v>11</v>
      </c>
      <c r="AA191" s="22" t="s">
        <v>10</v>
      </c>
      <c r="AB191" s="22" t="s">
        <v>39</v>
      </c>
      <c r="AC191" s="22" t="s">
        <v>31</v>
      </c>
      <c r="AD191" s="22" t="s">
        <v>32</v>
      </c>
      <c r="AE191" s="22" t="s">
        <v>16</v>
      </c>
      <c r="AF191" s="51"/>
      <c r="AH191" s="190"/>
      <c r="AI191" s="44"/>
      <c r="AJ191" s="50" t="s">
        <v>11</v>
      </c>
      <c r="AK191" s="22" t="s">
        <v>10</v>
      </c>
      <c r="AL191" s="22" t="s">
        <v>39</v>
      </c>
      <c r="AM191" s="22" t="s">
        <v>31</v>
      </c>
      <c r="AN191" s="22" t="s">
        <v>32</v>
      </c>
      <c r="AO191" s="22" t="s">
        <v>16</v>
      </c>
      <c r="AP191" s="51"/>
    </row>
    <row r="192" spans="1:47">
      <c r="S192" s="190" t="s">
        <v>95</v>
      </c>
      <c r="Y192" s="44">
        <v>2008</v>
      </c>
      <c r="Z192" s="52">
        <f>SUMIF($S$5:$S153,CONCATENATE($S192,$Y192),Z$5:Z153)</f>
        <v>0</v>
      </c>
      <c r="AA192" s="53">
        <f>SUMIF($S$5:$S153,CONCATENATE($S192,$Y192),AA$5:AA153)</f>
        <v>0</v>
      </c>
      <c r="AB192" s="53">
        <f>SUMIF($S$5:$S153,CONCATENATE($S192,$Y192),AB$5:AB153)</f>
        <v>0</v>
      </c>
      <c r="AC192" s="53">
        <f>SUMIF($S$5:$S153,CONCATENATE($S192,$Y192),AC$5:AC153)</f>
        <v>0</v>
      </c>
      <c r="AD192" s="53">
        <f>SUMIF($S$5:$S153,CONCATENATE($S192,$Y192),AD$5:AD153)</f>
        <v>0</v>
      </c>
      <c r="AE192" s="53">
        <f>SUMIF($S$5:$S153,CONCATENATE($S192,$Y192),AE$5:AE153)</f>
        <v>0</v>
      </c>
      <c r="AF192" s="51"/>
      <c r="AH192" s="190" t="s">
        <v>98</v>
      </c>
      <c r="AI192" s="44">
        <v>2008</v>
      </c>
      <c r="AJ192" s="52">
        <f>SUMIF($S$5:$S153,CONCATENATE($AH192,$AI192),AJ$5:AJ153)</f>
        <v>0</v>
      </c>
      <c r="AK192" s="53">
        <f>SUMIF($S$5:$S153,CONCATENATE($AH192,$AI192),AK$5:AK153)</f>
        <v>0</v>
      </c>
      <c r="AL192" s="53">
        <f>SUMIF($S$5:$S153,CONCATENATE($AH192,$AI192),AL$5:AL153)</f>
        <v>0</v>
      </c>
      <c r="AM192" s="53">
        <f>SUMIF($S$5:$S153,CONCATENATE($AH192,$AI192),AM$5:AM153)</f>
        <v>0</v>
      </c>
      <c r="AN192" s="53">
        <f>SUMIF($S$5:$S153,CONCATENATE($AH192,$AI192),AN$5:AN153)</f>
        <v>0</v>
      </c>
      <c r="AO192" s="53">
        <f>SUMIF($S$5:$S153,CONCATENATE($AH192,$AI192),AO$5:AO153)</f>
        <v>0</v>
      </c>
      <c r="AP192" s="51"/>
    </row>
    <row r="193" spans="19:43">
      <c r="S193" s="190" t="s">
        <v>95</v>
      </c>
      <c r="Y193" s="44">
        <v>2009</v>
      </c>
      <c r="Z193" s="52">
        <f>SUMIF($S$4:$S153,CONCATENATE($S193,$Y193),Z$4:Z153)</f>
        <v>500</v>
      </c>
      <c r="AA193" s="53">
        <f>SUMIF($S$4:$S153,CONCATENATE($S193,$Y193),AA$4:AA153)</f>
        <v>628</v>
      </c>
      <c r="AB193" s="53">
        <f>SUMIF($S$4:$S153,CONCATENATE($S193,$Y193),AB$4:AB153)</f>
        <v>92</v>
      </c>
      <c r="AC193" s="53">
        <f>SUMIF($S$4:$S153,CONCATENATE($S193,$Y193),AC$4:AC153)</f>
        <v>416</v>
      </c>
      <c r="AD193" s="53">
        <f>SUMIF($S$4:$S153,CONCATENATE($S193,$Y193),AD$4:AD153)</f>
        <v>0</v>
      </c>
      <c r="AE193" s="53">
        <f>SUMIF($S$4:$S153,CONCATENATE($S193,$Y193),AE$4:AE153)</f>
        <v>43492.5</v>
      </c>
      <c r="AF193" s="51"/>
      <c r="AH193" s="190" t="s">
        <v>98</v>
      </c>
      <c r="AI193" s="44">
        <v>2009</v>
      </c>
      <c r="AJ193" s="52">
        <f>SUMIF($S$4:$S153,CONCATENATE($AH193,$AI193),AJ$4:AJ153)</f>
        <v>72</v>
      </c>
      <c r="AK193" s="53">
        <f>SUMIF($S$4:$S153,CONCATENATE($AH193,$AI193),AK$4:AK153)</f>
        <v>197</v>
      </c>
      <c r="AL193" s="53">
        <f>SUMIF($S$4:$S153,CONCATENATE($AH193,$AI193),AL$4:AL153)</f>
        <v>112</v>
      </c>
      <c r="AM193" s="53">
        <f>SUMIF($S$4:$S153,CONCATENATE($AH193,$AI193),AM$4:AM153)</f>
        <v>92</v>
      </c>
      <c r="AN193" s="53">
        <f>SUMIF($S$4:$S153,CONCATENATE($AH193,$AI193),AN$4:AN153)</f>
        <v>0</v>
      </c>
      <c r="AO193" s="53">
        <f>SUMIF($S$4:$S153,CONCATENATE($AH193,$AI193),AO$4:AO153)</f>
        <v>2225</v>
      </c>
      <c r="AP193" s="51"/>
    </row>
    <row r="194" spans="19:43">
      <c r="S194" s="190" t="s">
        <v>95</v>
      </c>
      <c r="Y194" s="44">
        <v>2010</v>
      </c>
      <c r="Z194" s="52">
        <f>SUMIF($S$4:$S154,CONCATENATE($S194,$Y194),Z$4:Z154)</f>
        <v>0</v>
      </c>
      <c r="AA194" s="53">
        <f>SUMIF($S$4:$S154,CONCATENATE($S194,$Y194),AA$4:AA154)</f>
        <v>0</v>
      </c>
      <c r="AB194" s="53">
        <f>SUMIF($S$4:$S154,CONCATENATE($S194,$Y194),AB$4:AB154)</f>
        <v>0</v>
      </c>
      <c r="AC194" s="53">
        <f>SUMIF($S$4:$S154,CONCATENATE($S194,$Y194),AC$4:AC154)</f>
        <v>0</v>
      </c>
      <c r="AD194" s="53">
        <f>SUMIF($S$4:$S154,CONCATENATE($S194,$Y194),AD$4:AD154)</f>
        <v>0</v>
      </c>
      <c r="AE194" s="53">
        <f>SUMIF($S$4:$S154,CONCATENATE($S194,$Y194),AE$4:AE154)</f>
        <v>0</v>
      </c>
      <c r="AF194" s="51"/>
      <c r="AH194" s="190" t="s">
        <v>98</v>
      </c>
      <c r="AI194" s="44">
        <v>2010</v>
      </c>
      <c r="AJ194" s="52">
        <f>SUMIF($S$4:$S154,CONCATENATE($AH194,$AI194),AJ$4:AJ154)</f>
        <v>0</v>
      </c>
      <c r="AK194" s="53">
        <f>SUMIF($S$4:$S154,CONCATENATE($AH194,$AI194),AK$4:AK154)</f>
        <v>0</v>
      </c>
      <c r="AL194" s="53">
        <f>SUMIF($S$4:$S154,CONCATENATE($AH194,$AI194),AL$4:AL154)</f>
        <v>0</v>
      </c>
      <c r="AM194" s="53">
        <f>SUMIF($S$4:$S154,CONCATENATE($AH194,$AI194),AM$4:AM154)</f>
        <v>0</v>
      </c>
      <c r="AN194" s="53">
        <f>SUMIF($S$4:$S154,CONCATENATE($AH194,$AI194),AN$4:AN154)</f>
        <v>0</v>
      </c>
      <c r="AO194" s="53">
        <f>SUMIF($S$4:$S154,CONCATENATE($AH194,$AI194),AO$4:AO154)</f>
        <v>0</v>
      </c>
      <c r="AP194" s="51"/>
    </row>
    <row r="195" spans="19:43">
      <c r="S195" s="190" t="s">
        <v>95</v>
      </c>
      <c r="Y195" s="46" t="s">
        <v>57</v>
      </c>
      <c r="Z195" s="52">
        <f>SUMIF($S$4:$S153,CONCATENATE($S195,$Y195),Z$4:Z153)</f>
        <v>174</v>
      </c>
      <c r="AA195" s="53">
        <f>SUMIF($S$4:$S153,CONCATENATE($S195,$Y195),AA$4:AA153)</f>
        <v>0</v>
      </c>
      <c r="AB195" s="53">
        <f>SUMIF($S$4:$S153,CONCATENATE($S195,$Y195),AB$4:AB153)</f>
        <v>0</v>
      </c>
      <c r="AC195" s="53">
        <f>SUMIF($S$4:$S153,CONCATENATE($S195,$Y195),AC$4:AC153)</f>
        <v>0</v>
      </c>
      <c r="AD195" s="53">
        <f>SUMIF($S$4:$S153,CONCATENATE($S195,$Y195),AD$4:AD153)</f>
        <v>0</v>
      </c>
      <c r="AE195" s="53">
        <f>SUMIF($S$4:$S153,CONCATENATE($S195,$Y195),AE$4:AE153)</f>
        <v>5550</v>
      </c>
      <c r="AF195" s="51"/>
      <c r="AH195" s="190" t="s">
        <v>98</v>
      </c>
      <c r="AI195" s="46" t="s">
        <v>57</v>
      </c>
      <c r="AJ195" s="52">
        <f>SUMIF($S$4:$S153,CONCATENATE($AH195,$AI195),AJ$4:AJ153)</f>
        <v>31.6</v>
      </c>
      <c r="AK195" s="53">
        <f>SUMIF($S$4:$S153,CONCATENATE($AH195,$AI195),AK$4:AK153)</f>
        <v>0</v>
      </c>
      <c r="AL195" s="53">
        <f>SUMIF($S$4:$S153,CONCATENATE($AH195,$AI195),AL$4:AL153)</f>
        <v>0</v>
      </c>
      <c r="AM195" s="53">
        <f>SUMIF($S$4:$S153,CONCATENATE($AH195,$AI195),AM$4:AM153)</f>
        <v>0</v>
      </c>
      <c r="AN195" s="53">
        <f>SUMIF($S$4:$S153,CONCATENATE($AH195,$AI195),AN$4:AN153)</f>
        <v>0</v>
      </c>
      <c r="AO195" s="53">
        <f>SUMIF($S$4:$S153,CONCATENATE($AH195,$AI195),AO$4:AO153)</f>
        <v>804</v>
      </c>
      <c r="AP195" s="51"/>
    </row>
    <row r="196" spans="19:43">
      <c r="S196" s="190" t="s">
        <v>95</v>
      </c>
      <c r="Y196" s="46" t="s">
        <v>58</v>
      </c>
      <c r="Z196" s="52">
        <f>SUMIF($S$4:$S154,CONCATENATE($S196,$Y196),Z$4:Z154)</f>
        <v>0</v>
      </c>
      <c r="AA196" s="53">
        <f>SUMIF($S$4:$S154,CONCATENATE($S196,$Y196),AA$4:AA154)</f>
        <v>0</v>
      </c>
      <c r="AB196" s="53">
        <f>SUMIF($S$4:$S154,CONCATENATE($S196,$Y196),AB$4:AB154)</f>
        <v>0</v>
      </c>
      <c r="AC196" s="53">
        <f>SUMIF($S$4:$S154,CONCATENATE($S196,$Y196),AC$4:AC154)</f>
        <v>0</v>
      </c>
      <c r="AD196" s="53">
        <f>SUMIF($S$4:$S154,CONCATENATE($S196,$Y196),AD$4:AD154)</f>
        <v>0</v>
      </c>
      <c r="AE196" s="53">
        <f>SUMIF($S$4:$S154,CONCATENATE($S196,$Y196),AE$4:AE154)</f>
        <v>0</v>
      </c>
      <c r="AF196" s="51"/>
      <c r="AH196" s="190" t="s">
        <v>98</v>
      </c>
      <c r="AI196" s="46" t="s">
        <v>58</v>
      </c>
      <c r="AJ196" s="52">
        <f>SUMIF($S$4:$S154,CONCATENATE($AH196,$AI196),AJ$4:AJ154)</f>
        <v>0</v>
      </c>
      <c r="AK196" s="53">
        <f>SUMIF($S$4:$S154,CONCATENATE($AH196,$AI196),AK$4:AK154)</f>
        <v>0</v>
      </c>
      <c r="AL196" s="53">
        <f>SUMIF($S$4:$S154,CONCATENATE($AH196,$AI196),AL$4:AL154)</f>
        <v>0</v>
      </c>
      <c r="AM196" s="53">
        <f>SUMIF($S$4:$S154,CONCATENATE($AH196,$AI196),AM$4:AM154)</f>
        <v>0</v>
      </c>
      <c r="AN196" s="53">
        <f>SUMIF($S$4:$S154,CONCATENATE($AH196,$AI196),AN$4:AN154)</f>
        <v>0</v>
      </c>
      <c r="AO196" s="53">
        <f>SUMIF($S$4:$S154,CONCATENATE($AH196,$AI196),AO$4:AO154)</f>
        <v>0</v>
      </c>
      <c r="AP196" s="51"/>
    </row>
    <row r="197" spans="19:43" ht="15.75">
      <c r="Z197" s="277" t="s">
        <v>59</v>
      </c>
      <c r="AA197" s="278"/>
      <c r="AB197" s="278"/>
      <c r="AC197" s="278"/>
      <c r="AD197" s="278"/>
      <c r="AE197" s="278"/>
      <c r="AF197" s="279"/>
      <c r="AH197" s="190"/>
      <c r="AI197" s="44"/>
      <c r="AJ197" s="277" t="s">
        <v>59</v>
      </c>
      <c r="AK197" s="278"/>
      <c r="AL197" s="278"/>
      <c r="AM197" s="278"/>
      <c r="AN197" s="278"/>
      <c r="AO197" s="278"/>
      <c r="AP197" s="279"/>
    </row>
    <row r="198" spans="19:43">
      <c r="Z198" s="50" t="s">
        <v>54</v>
      </c>
      <c r="AA198" s="22" t="s">
        <v>55</v>
      </c>
      <c r="AB198" s="22" t="s">
        <v>39</v>
      </c>
      <c r="AC198" s="22" t="s">
        <v>31</v>
      </c>
      <c r="AD198" s="22" t="s">
        <v>32</v>
      </c>
      <c r="AE198" s="22" t="s">
        <v>16</v>
      </c>
      <c r="AF198" s="55" t="s">
        <v>56</v>
      </c>
      <c r="AH198" s="190"/>
      <c r="AI198" s="44"/>
      <c r="AJ198" s="50" t="s">
        <v>54</v>
      </c>
      <c r="AK198" s="22" t="s">
        <v>55</v>
      </c>
      <c r="AL198" s="22" t="s">
        <v>39</v>
      </c>
      <c r="AM198" s="22" t="s">
        <v>31</v>
      </c>
      <c r="AN198" s="22" t="s">
        <v>32</v>
      </c>
      <c r="AO198" s="22" t="s">
        <v>16</v>
      </c>
      <c r="AP198" s="55" t="s">
        <v>56</v>
      </c>
    </row>
    <row r="199" spans="19:43">
      <c r="S199" s="190" t="s">
        <v>95</v>
      </c>
      <c r="Y199" s="44">
        <f>Y192</f>
        <v>2008</v>
      </c>
      <c r="Z199" s="56">
        <f>Shop*Z192</f>
        <v>0</v>
      </c>
      <c r="AA199" s="54">
        <f>M_Tech*AA192</f>
        <v>0</v>
      </c>
      <c r="AB199" s="54">
        <f>CMM*AB192</f>
        <v>0</v>
      </c>
      <c r="AC199" s="54">
        <f>ENG*AC192</f>
        <v>0</v>
      </c>
      <c r="AD199" s="54">
        <f>DES*AD192</f>
        <v>0</v>
      </c>
      <c r="AE199" s="54">
        <f>AE192</f>
        <v>0</v>
      </c>
      <c r="AF199" s="57">
        <f>SUM(Z199:AE199)</f>
        <v>0</v>
      </c>
      <c r="AH199" s="190" t="s">
        <v>98</v>
      </c>
      <c r="AI199" s="44">
        <f>AI192</f>
        <v>2008</v>
      </c>
      <c r="AJ199" s="56">
        <f>Shop*AJ192</f>
        <v>0</v>
      </c>
      <c r="AK199" s="54">
        <f>M_Tech*AK192</f>
        <v>0</v>
      </c>
      <c r="AL199" s="54">
        <f>CMM*AL192</f>
        <v>0</v>
      </c>
      <c r="AM199" s="54">
        <f>ENG*AM192</f>
        <v>0</v>
      </c>
      <c r="AN199" s="54">
        <f>DES*AN192</f>
        <v>0</v>
      </c>
      <c r="AO199" s="54">
        <f>AO192</f>
        <v>0</v>
      </c>
      <c r="AP199" s="57">
        <f>SUM(AJ199:AO199)</f>
        <v>0</v>
      </c>
    </row>
    <row r="200" spans="19:43">
      <c r="S200" s="190" t="s">
        <v>95</v>
      </c>
      <c r="Y200" s="44">
        <f>Y193</f>
        <v>2009</v>
      </c>
      <c r="Z200" s="56">
        <f>Shop*Z193</f>
        <v>63500</v>
      </c>
      <c r="AA200" s="54">
        <f>M_Tech*AA193</f>
        <v>73476</v>
      </c>
      <c r="AB200" s="54">
        <f>CMM*AB193</f>
        <v>11684</v>
      </c>
      <c r="AC200" s="54">
        <f>ENG*AC193</f>
        <v>62400</v>
      </c>
      <c r="AD200" s="54">
        <f>DES*AD193</f>
        <v>0</v>
      </c>
      <c r="AE200" s="54">
        <f>AE193</f>
        <v>43492.5</v>
      </c>
      <c r="AF200" s="57">
        <f t="shared" ref="AF200:AF201" si="619">SUM(Z200:AE200)</f>
        <v>254552.5</v>
      </c>
      <c r="AH200" s="190" t="s">
        <v>98</v>
      </c>
      <c r="AI200" s="44">
        <f>AI193</f>
        <v>2009</v>
      </c>
      <c r="AJ200" s="56">
        <f>Shop*AJ193</f>
        <v>9144</v>
      </c>
      <c r="AK200" s="54">
        <f>M_Tech*AK193</f>
        <v>23049</v>
      </c>
      <c r="AL200" s="54">
        <f>CMM*AL193</f>
        <v>14224</v>
      </c>
      <c r="AM200" s="54">
        <f>ENG*AM193</f>
        <v>13800</v>
      </c>
      <c r="AN200" s="54">
        <f>DES*AN193</f>
        <v>0</v>
      </c>
      <c r="AO200" s="54">
        <f>AO193</f>
        <v>2225</v>
      </c>
      <c r="AP200" s="57">
        <f t="shared" ref="AP200:AP201" si="620">SUM(AJ200:AO200)</f>
        <v>62442</v>
      </c>
    </row>
    <row r="201" spans="19:43" ht="13.5" thickBot="1">
      <c r="S201" s="190" t="s">
        <v>95</v>
      </c>
      <c r="Y201" s="44">
        <f>Y194</f>
        <v>2010</v>
      </c>
      <c r="Z201" s="58">
        <f>Shop*Z194</f>
        <v>0</v>
      </c>
      <c r="AA201" s="59">
        <f>M_Tech*AA194</f>
        <v>0</v>
      </c>
      <c r="AB201" s="59">
        <f>CMM*AB194</f>
        <v>0</v>
      </c>
      <c r="AC201" s="59">
        <f>ENG*AC194</f>
        <v>0</v>
      </c>
      <c r="AD201" s="59">
        <f>DES*AD194</f>
        <v>0</v>
      </c>
      <c r="AE201" s="59">
        <f>AE194</f>
        <v>0</v>
      </c>
      <c r="AF201" s="60">
        <f t="shared" si="619"/>
        <v>0</v>
      </c>
      <c r="AH201" s="190" t="s">
        <v>98</v>
      </c>
      <c r="AI201" s="44">
        <f>AI194</f>
        <v>2010</v>
      </c>
      <c r="AJ201" s="58">
        <f>Shop*AJ194</f>
        <v>0</v>
      </c>
      <c r="AK201" s="59">
        <f>M_Tech*AK194</f>
        <v>0</v>
      </c>
      <c r="AL201" s="59">
        <f>CMM*AL194</f>
        <v>0</v>
      </c>
      <c r="AM201" s="59">
        <f>ENG*AM194</f>
        <v>0</v>
      </c>
      <c r="AN201" s="59">
        <f>DES*AN194</f>
        <v>0</v>
      </c>
      <c r="AO201" s="59">
        <f>AO194</f>
        <v>0</v>
      </c>
      <c r="AP201" s="60">
        <f t="shared" si="620"/>
        <v>0</v>
      </c>
    </row>
    <row r="202" spans="19:43" ht="15.75" thickTop="1">
      <c r="AE202" s="174" t="s">
        <v>88</v>
      </c>
      <c r="AF202" s="174">
        <f>SUM(AF199:AF201)</f>
        <v>254552.5</v>
      </c>
      <c r="AH202" s="190"/>
      <c r="AI202" s="13"/>
      <c r="AJ202" s="16"/>
      <c r="AK202" s="16"/>
      <c r="AL202" s="16"/>
      <c r="AM202" s="16"/>
      <c r="AN202" s="44"/>
      <c r="AO202" s="175" t="s">
        <v>85</v>
      </c>
      <c r="AP202" s="174">
        <f>SUM(AP199:AP201)</f>
        <v>62442</v>
      </c>
    </row>
    <row r="203" spans="19:43">
      <c r="AO203" s="194" t="s">
        <v>102</v>
      </c>
      <c r="AP203" s="196">
        <f>AP202/AF202</f>
        <v>0.24530106755973718</v>
      </c>
    </row>
    <row r="204" spans="19:43">
      <c r="AF204" s="31">
        <f>AF187+AF202</f>
        <v>254552.5</v>
      </c>
      <c r="AG204" s="40" t="s">
        <v>99</v>
      </c>
      <c r="AP204" s="31">
        <f>AP187+AP202</f>
        <v>62442</v>
      </c>
      <c r="AQ204" s="40" t="s">
        <v>99</v>
      </c>
    </row>
  </sheetData>
  <mergeCells count="20">
    <mergeCell ref="Z197:AF197"/>
    <mergeCell ref="AJ190:AP190"/>
    <mergeCell ref="AJ197:AP197"/>
    <mergeCell ref="Z175:AF175"/>
    <mergeCell ref="Z182:AF182"/>
    <mergeCell ref="AJ175:AP175"/>
    <mergeCell ref="AJ182:AP182"/>
    <mergeCell ref="Z190:AF190"/>
    <mergeCell ref="Z167:AF167"/>
    <mergeCell ref="AJ167:AP167"/>
    <mergeCell ref="Q2:Y2"/>
    <mergeCell ref="Z2:AF2"/>
    <mergeCell ref="AJ2:AP2"/>
    <mergeCell ref="Z160:AF160"/>
    <mergeCell ref="AJ160:AP160"/>
    <mergeCell ref="N154:P154"/>
    <mergeCell ref="N124:P124"/>
    <mergeCell ref="N18:P18"/>
    <mergeCell ref="N67:P67"/>
    <mergeCell ref="N144:P144"/>
  </mergeCells>
  <phoneticPr fontId="0" type="noConversion"/>
  <conditionalFormatting sqref="N68 A125:N126 N19 A147:M155 N155 A15:N16 A5:M19 N5:N17 N147:N153 A14:Q15 A21:N26 A67:M68 F33:M33 A83:O83 L70:M70 O70 O78 A97:N97 A99:N99 A122:A123 A63:O66 A101:N121 T14:X15 Z14:XFD15 A95:N95 L125:O125 A145:N145 A28:N29 F30:M30 N27:N49 A27:E49 A31:N32 A10:N10 A95:A112 B95:N123 L90:N90 A72:N89 O81:O89 A91:O93 A34:N62 A128:O143">
    <cfRule type="expression" dxfId="4" priority="58">
      <formula>IF($N5=0,TRUE,FALSE)</formula>
    </cfRule>
  </conditionalFormatting>
  <conditionalFormatting sqref="M147:M153">
    <cfRule type="expression" dxfId="3" priority="54">
      <formula>IF($N147=0,TRUE,FALSE)</formula>
    </cfRule>
  </conditionalFormatting>
  <conditionalFormatting sqref="A94:K94">
    <cfRule type="expression" dxfId="2" priority="60">
      <formula>IF($N90=0,TRUE,FALSE)</formula>
    </cfRule>
  </conditionalFormatting>
  <conditionalFormatting sqref="A90:K90 O90">
    <cfRule type="expression" dxfId="1" priority="65">
      <formula>IF(#REF!=0,TRUE,FALSE)</formula>
    </cfRule>
  </conditionalFormatting>
  <conditionalFormatting sqref="L94:N94">
    <cfRule type="expression" dxfId="0" priority="1">
      <formula>IF($N94=0,TRUE,FALSE)</formula>
    </cfRule>
  </conditionalFormatting>
  <dataValidations count="3">
    <dataValidation type="list" allowBlank="1" showInputMessage="1" showErrorMessage="1" sqref="Q147:Q153 R94:S94 R90:S90 Q134:Q143 R101:S101 R113:S113 R107:S107 R34:S34 Q5:Q17 Q79:Q80 Q70:S70 Q72:Q77 Q82:Q85 Q64:Q66 R50:S50 R27:S27 R24:S24 R21:S21 Q21:Q62 Q87:Q123 Q129:Q132">
      <formula1>"B,C"</formula1>
    </dataValidation>
    <dataValidation type="list" allowBlank="1" showInputMessage="1" showErrorMessage="1" sqref="R147:R153 R114:R123 R134:R143 R95:R100 R91:R93 R102:R106 R108:R112 R51:R62 R35:R49 R79:R80 R82:R85 R5:R17 R72:R77 R64:R66 R25:R26 R28:R33 R22:R23 R87:R89 R129:R132">
      <formula1>"PD, PT"</formula1>
    </dataValidation>
    <dataValidation type="list" allowBlank="1" showInputMessage="1" showErrorMessage="1" sqref="Y147:Y153 Y87:Y123 Y5:Y17 Y82:Y85 Y72:Y77 Y70 Y79:Y80 Y21:Y66 Y129:Y143">
      <formula1>"2007, 2008, 2009, 2010, Hytec, LANL"</formula1>
    </dataValidation>
  </dataValidations>
  <pageMargins left="0.12" right="0.13" top="0.33" bottom="0.25" header="0.18" footer="0.12"/>
  <pageSetup paperSize="160" scale="31" orientation="portrait" r:id="rId1"/>
  <headerFooter alignWithMargins="0">
    <oddHeader xml:space="preserve">&amp;LPHENIX&amp;CFull Project Estimate&amp;R25-October 2007 </oddHeader>
    <oddFooter>&amp;RE Anderssen, LBNL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3:M24"/>
  <sheetViews>
    <sheetView workbookViewId="0">
      <selection activeCell="K27" sqref="K27"/>
    </sheetView>
  </sheetViews>
  <sheetFormatPr defaultRowHeight="12.75"/>
  <cols>
    <col min="7" max="7" width="14.28515625" bestFit="1" customWidth="1"/>
  </cols>
  <sheetData>
    <row r="3" spans="2:13">
      <c r="H3" s="40" t="s">
        <v>259</v>
      </c>
      <c r="I3" s="40" t="s">
        <v>260</v>
      </c>
      <c r="J3" s="40" t="s">
        <v>261</v>
      </c>
      <c r="L3" s="236" t="s">
        <v>260</v>
      </c>
    </row>
    <row r="4" spans="2:13">
      <c r="B4" s="40" t="s">
        <v>44</v>
      </c>
      <c r="C4">
        <v>127</v>
      </c>
      <c r="G4" s="40" t="s">
        <v>6</v>
      </c>
      <c r="H4" s="40" t="s">
        <v>262</v>
      </c>
      <c r="I4" s="40" t="s">
        <v>263</v>
      </c>
      <c r="J4" s="40" t="s">
        <v>264</v>
      </c>
      <c r="K4" s="40" t="s">
        <v>33</v>
      </c>
      <c r="L4" s="236" t="s">
        <v>264</v>
      </c>
      <c r="M4" s="40" t="s">
        <v>33</v>
      </c>
    </row>
    <row r="5" spans="2:13">
      <c r="B5" s="40" t="s">
        <v>39</v>
      </c>
      <c r="C5">
        <v>127</v>
      </c>
      <c r="G5" s="40" t="s">
        <v>7</v>
      </c>
      <c r="H5" s="40">
        <v>9.8000000000000004E-2</v>
      </c>
      <c r="I5" s="237">
        <f t="shared" ref="I5:I22" si="0">H5*454/(2.54^3)</f>
        <v>2.7150684222628292</v>
      </c>
      <c r="J5">
        <v>8</v>
      </c>
      <c r="K5" s="40" t="s">
        <v>265</v>
      </c>
      <c r="L5" s="238">
        <f t="shared" ref="L5:L16" si="1">J5/484</f>
        <v>1.6528925619834711E-2</v>
      </c>
      <c r="M5" s="40" t="s">
        <v>266</v>
      </c>
    </row>
    <row r="6" spans="2:13">
      <c r="B6" s="40" t="s">
        <v>45</v>
      </c>
      <c r="C6">
        <v>117</v>
      </c>
      <c r="G6" s="40" t="s">
        <v>267</v>
      </c>
      <c r="H6" s="40">
        <v>9.8000000000000004E-2</v>
      </c>
      <c r="I6" s="237">
        <f t="shared" si="0"/>
        <v>2.7150684222628292</v>
      </c>
      <c r="J6">
        <v>10</v>
      </c>
      <c r="K6" s="40" t="s">
        <v>265</v>
      </c>
      <c r="L6" s="238">
        <f t="shared" si="1"/>
        <v>2.0661157024793389E-2</v>
      </c>
      <c r="M6" s="40" t="s">
        <v>266</v>
      </c>
    </row>
    <row r="7" spans="2:13">
      <c r="B7" s="40" t="s">
        <v>46</v>
      </c>
      <c r="C7">
        <v>150</v>
      </c>
      <c r="G7" s="40" t="s">
        <v>250</v>
      </c>
      <c r="H7" s="40">
        <v>9.8000000000000004E-2</v>
      </c>
      <c r="I7" s="237">
        <f t="shared" si="0"/>
        <v>2.7150684222628292</v>
      </c>
      <c r="J7">
        <v>8</v>
      </c>
      <c r="K7" s="40" t="s">
        <v>265</v>
      </c>
      <c r="L7" s="238">
        <f t="shared" si="1"/>
        <v>1.6528925619834711E-2</v>
      </c>
      <c r="M7" s="40" t="s">
        <v>266</v>
      </c>
    </row>
    <row r="8" spans="2:13">
      <c r="B8" s="40" t="s">
        <v>47</v>
      </c>
      <c r="C8">
        <v>120</v>
      </c>
      <c r="G8" s="40" t="s">
        <v>268</v>
      </c>
      <c r="H8" s="40">
        <v>9.8000000000000004E-2</v>
      </c>
      <c r="I8" s="237">
        <f t="shared" si="0"/>
        <v>2.7150684222628292</v>
      </c>
      <c r="J8">
        <v>10</v>
      </c>
      <c r="K8" s="40" t="s">
        <v>265</v>
      </c>
      <c r="L8" s="238">
        <f t="shared" si="1"/>
        <v>2.0661157024793389E-2</v>
      </c>
      <c r="M8" s="40" t="s">
        <v>266</v>
      </c>
    </row>
    <row r="9" spans="2:13">
      <c r="G9" s="40" t="s">
        <v>269</v>
      </c>
      <c r="H9">
        <v>0.19800000000000001</v>
      </c>
      <c r="I9" s="237">
        <f t="shared" si="0"/>
        <v>5.4855464041636752</v>
      </c>
      <c r="J9">
        <v>15</v>
      </c>
      <c r="K9" s="40" t="s">
        <v>265</v>
      </c>
      <c r="L9" s="238">
        <f t="shared" si="1"/>
        <v>3.0991735537190084E-2</v>
      </c>
      <c r="M9" s="40" t="s">
        <v>266</v>
      </c>
    </row>
    <row r="10" spans="2:13">
      <c r="G10" s="40" t="s">
        <v>270</v>
      </c>
      <c r="H10">
        <v>0.19800000000000001</v>
      </c>
      <c r="I10" s="237">
        <f t="shared" si="0"/>
        <v>5.4855464041636752</v>
      </c>
      <c r="J10">
        <v>20</v>
      </c>
      <c r="K10" s="40" t="s">
        <v>265</v>
      </c>
      <c r="L10" s="238">
        <f t="shared" si="1"/>
        <v>4.1322314049586778E-2</v>
      </c>
      <c r="M10" s="40" t="s">
        <v>266</v>
      </c>
    </row>
    <row r="11" spans="2:13">
      <c r="G11" s="40" t="s">
        <v>139</v>
      </c>
      <c r="H11">
        <v>0.29799999999999999</v>
      </c>
      <c r="I11" s="237">
        <f t="shared" si="0"/>
        <v>8.2560243860645208</v>
      </c>
      <c r="J11">
        <v>3</v>
      </c>
      <c r="K11" s="40" t="s">
        <v>265</v>
      </c>
      <c r="L11" s="238">
        <f t="shared" si="1"/>
        <v>6.1983471074380167E-3</v>
      </c>
      <c r="M11" s="40" t="s">
        <v>266</v>
      </c>
    </row>
    <row r="12" spans="2:13">
      <c r="G12" s="40" t="s">
        <v>271</v>
      </c>
      <c r="H12">
        <v>0.29799999999999999</v>
      </c>
      <c r="I12" s="237">
        <f t="shared" si="0"/>
        <v>8.2560243860645208</v>
      </c>
      <c r="J12">
        <v>15</v>
      </c>
      <c r="K12" s="40" t="s">
        <v>265</v>
      </c>
      <c r="L12" s="238">
        <f t="shared" si="1"/>
        <v>3.0991735537190084E-2</v>
      </c>
      <c r="M12" s="40" t="s">
        <v>266</v>
      </c>
    </row>
    <row r="13" spans="2:13">
      <c r="G13" s="40" t="s">
        <v>272</v>
      </c>
      <c r="H13">
        <v>6.5000000000000002E-2</v>
      </c>
      <c r="I13" s="237">
        <f t="shared" si="0"/>
        <v>1.8008106882355499</v>
      </c>
      <c r="J13">
        <v>100</v>
      </c>
      <c r="K13" s="40" t="s">
        <v>265</v>
      </c>
      <c r="L13" s="238">
        <f t="shared" si="1"/>
        <v>0.20661157024793389</v>
      </c>
      <c r="M13" s="40" t="s">
        <v>266</v>
      </c>
    </row>
    <row r="14" spans="2:13">
      <c r="G14" s="40" t="s">
        <v>273</v>
      </c>
      <c r="H14">
        <v>6.5000000000000002E-2</v>
      </c>
      <c r="I14" s="237">
        <f t="shared" si="0"/>
        <v>1.8008106882355499</v>
      </c>
      <c r="J14">
        <v>800</v>
      </c>
      <c r="K14" s="40" t="s">
        <v>265</v>
      </c>
      <c r="L14" s="238">
        <f t="shared" si="1"/>
        <v>1.6528925619834711</v>
      </c>
      <c r="M14" s="40" t="s">
        <v>266</v>
      </c>
    </row>
    <row r="15" spans="2:13">
      <c r="B15" s="40" t="s">
        <v>49</v>
      </c>
      <c r="G15" s="40" t="s">
        <v>274</v>
      </c>
      <c r="H15">
        <v>6.5000000000000002E-2</v>
      </c>
      <c r="I15" s="237">
        <f t="shared" si="0"/>
        <v>1.8008106882355499</v>
      </c>
      <c r="J15">
        <v>500</v>
      </c>
      <c r="K15" s="40" t="s">
        <v>265</v>
      </c>
      <c r="L15" s="238">
        <f t="shared" si="1"/>
        <v>1.0330578512396693</v>
      </c>
      <c r="M15" s="40" t="s">
        <v>266</v>
      </c>
    </row>
    <row r="16" spans="2:13">
      <c r="B16" s="40" t="s">
        <v>50</v>
      </c>
      <c r="G16" s="40" t="s">
        <v>275</v>
      </c>
      <c r="H16">
        <v>6.5000000000000002E-2</v>
      </c>
      <c r="I16" s="237">
        <f t="shared" si="0"/>
        <v>1.8008106882355499</v>
      </c>
      <c r="J16">
        <v>1200</v>
      </c>
      <c r="K16" s="40" t="s">
        <v>265</v>
      </c>
      <c r="L16" s="238">
        <f t="shared" si="1"/>
        <v>2.4793388429752068</v>
      </c>
      <c r="M16" s="40" t="s">
        <v>266</v>
      </c>
    </row>
    <row r="17" spans="7:13">
      <c r="G17" s="40" t="s">
        <v>246</v>
      </c>
      <c r="H17">
        <v>5.5E-2</v>
      </c>
      <c r="I17" s="237">
        <f>H17*454/(2.54^3)</f>
        <v>1.5237628900454652</v>
      </c>
      <c r="J17">
        <v>400</v>
      </c>
      <c r="K17" s="40" t="s">
        <v>276</v>
      </c>
      <c r="L17" s="238">
        <f>J17/946</f>
        <v>0.42283298097251587</v>
      </c>
      <c r="M17" s="40" t="s">
        <v>277</v>
      </c>
    </row>
    <row r="18" spans="7:13">
      <c r="G18" s="40" t="s">
        <v>245</v>
      </c>
      <c r="H18">
        <v>5.5E-2</v>
      </c>
      <c r="I18" s="237">
        <f t="shared" si="0"/>
        <v>1.5237628900454652</v>
      </c>
      <c r="J18">
        <v>350</v>
      </c>
      <c r="K18" s="40" t="s">
        <v>276</v>
      </c>
      <c r="L18" s="238">
        <f>J18/946</f>
        <v>0.3699788583509514</v>
      </c>
      <c r="M18" s="40" t="s">
        <v>277</v>
      </c>
    </row>
    <row r="19" spans="7:13">
      <c r="G19" s="40" t="s">
        <v>278</v>
      </c>
      <c r="H19">
        <v>7.4999999999999997E-2</v>
      </c>
      <c r="I19" s="237">
        <f t="shared" si="0"/>
        <v>2.0778584864256344</v>
      </c>
      <c r="J19">
        <v>450</v>
      </c>
      <c r="K19" s="40" t="s">
        <v>276</v>
      </c>
      <c r="L19" s="238">
        <f>J19/946</f>
        <v>0.47568710359408034</v>
      </c>
      <c r="M19" s="40" t="s">
        <v>277</v>
      </c>
    </row>
    <row r="20" spans="7:13">
      <c r="G20" s="40" t="s">
        <v>248</v>
      </c>
      <c r="H20">
        <f>3/12^3</f>
        <v>1.736111111111111E-3</v>
      </c>
      <c r="I20" s="237">
        <f t="shared" si="0"/>
        <v>4.8098576074667464E-2</v>
      </c>
      <c r="J20">
        <v>600</v>
      </c>
      <c r="K20" s="40" t="s">
        <v>279</v>
      </c>
      <c r="L20" s="238">
        <f>J20/2360</f>
        <v>0.25423728813559321</v>
      </c>
      <c r="M20" s="40" t="s">
        <v>277</v>
      </c>
    </row>
    <row r="21" spans="7:13">
      <c r="G21" s="40" t="s">
        <v>280</v>
      </c>
      <c r="H21">
        <f t="shared" ref="H21" si="2">3/12^3</f>
        <v>1.736111111111111E-3</v>
      </c>
      <c r="I21" s="237">
        <f t="shared" si="0"/>
        <v>4.8098576074667464E-2</v>
      </c>
      <c r="J21">
        <v>75</v>
      </c>
      <c r="K21" s="40" t="s">
        <v>279</v>
      </c>
      <c r="L21" s="238">
        <f t="shared" ref="L21:L22" si="3">J21/2360</f>
        <v>3.1779661016949151E-2</v>
      </c>
      <c r="M21" s="40" t="s">
        <v>277</v>
      </c>
    </row>
    <row r="22" spans="7:13">
      <c r="G22" s="40" t="s">
        <v>281</v>
      </c>
      <c r="H22">
        <f>4/12^3</f>
        <v>2.3148148148148147E-3</v>
      </c>
      <c r="I22" s="237">
        <f t="shared" si="0"/>
        <v>6.413143476622328E-2</v>
      </c>
      <c r="J22">
        <v>100</v>
      </c>
      <c r="K22" s="40" t="s">
        <v>279</v>
      </c>
      <c r="L22" s="238">
        <f t="shared" si="3"/>
        <v>4.2372881355932202E-2</v>
      </c>
      <c r="M22" s="40" t="s">
        <v>277</v>
      </c>
    </row>
    <row r="23" spans="7:13">
      <c r="G23" s="40" t="s">
        <v>294</v>
      </c>
      <c r="H23">
        <v>5.5E-2</v>
      </c>
      <c r="I23" s="237">
        <f>H23*454/(2.54^3)</f>
        <v>1.5237628900454652</v>
      </c>
      <c r="J23">
        <v>400</v>
      </c>
      <c r="K23" s="40" t="s">
        <v>265</v>
      </c>
      <c r="L23" s="238">
        <f>J23/484</f>
        <v>0.82644628099173556</v>
      </c>
      <c r="M23" s="40" t="s">
        <v>266</v>
      </c>
    </row>
    <row r="24" spans="7:13">
      <c r="G24" s="40" t="s">
        <v>124</v>
      </c>
      <c r="H24">
        <v>5.5E-2</v>
      </c>
      <c r="I24" s="237">
        <f>H24*454/(2.54^3)</f>
        <v>1.5237628900454652</v>
      </c>
      <c r="J24">
        <v>600</v>
      </c>
      <c r="K24" s="40" t="s">
        <v>265</v>
      </c>
      <c r="L24" s="238">
        <f t="shared" ref="L24" si="4">J24/484</f>
        <v>1.2396694214876034</v>
      </c>
      <c r="M24" s="40" t="s">
        <v>266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53"/>
  <sheetViews>
    <sheetView tabSelected="1" topLeftCell="A10" workbookViewId="0">
      <selection activeCell="K31" sqref="K31"/>
    </sheetView>
  </sheetViews>
  <sheetFormatPr defaultRowHeight="12.75"/>
  <cols>
    <col min="1" max="1" width="30" bestFit="1" customWidth="1"/>
    <col min="2" max="2" width="14.28515625" bestFit="1" customWidth="1"/>
    <col min="3" max="3" width="11" bestFit="1" customWidth="1"/>
    <col min="4" max="4" width="9.85546875" style="225" bestFit="1" customWidth="1"/>
    <col min="5" max="5" width="11.140625" style="225" bestFit="1" customWidth="1"/>
    <col min="6" max="6" width="12" style="13" bestFit="1" customWidth="1"/>
    <col min="7" max="7" width="8" bestFit="1" customWidth="1"/>
    <col min="8" max="8" width="8.7109375" style="217" bestFit="1" customWidth="1"/>
    <col min="9" max="9" width="5" style="225" bestFit="1" customWidth="1"/>
    <col min="10" max="10" width="3.28515625" style="225" bestFit="1" customWidth="1"/>
    <col min="11" max="11" width="5" style="225" bestFit="1" customWidth="1"/>
    <col min="12" max="12" width="11" style="228" bestFit="1" customWidth="1"/>
    <col min="13" max="13" width="8.28515625" style="228" bestFit="1" customWidth="1"/>
    <col min="14" max="14" width="10.42578125" style="229" bestFit="1" customWidth="1"/>
    <col min="15" max="15" width="8.28515625" style="230" bestFit="1" customWidth="1"/>
    <col min="16" max="16" width="7.28515625" style="217" bestFit="1" customWidth="1"/>
    <col min="17" max="17" width="10.140625" style="217" bestFit="1" customWidth="1"/>
    <col min="18" max="18" width="9" style="206" bestFit="1" customWidth="1"/>
    <col min="19" max="19" width="9" style="207" bestFit="1" customWidth="1"/>
    <col min="20" max="20" width="10.85546875" style="206" bestFit="1" customWidth="1"/>
    <col min="21" max="21" width="12.5703125" customWidth="1"/>
    <col min="22" max="22" width="4.85546875" style="208" bestFit="1" customWidth="1"/>
    <col min="23" max="23" width="6.28515625" style="208" bestFit="1" customWidth="1"/>
    <col min="24" max="24" width="2" style="208" bestFit="1" customWidth="1"/>
  </cols>
  <sheetData>
    <row r="1" spans="1:32" ht="18">
      <c r="A1" s="294" t="s">
        <v>211</v>
      </c>
      <c r="B1" s="295"/>
      <c r="C1" s="295"/>
      <c r="D1" s="296" t="s">
        <v>212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32" ht="96.75">
      <c r="A2" s="40" t="s">
        <v>0</v>
      </c>
      <c r="B2" s="40" t="s">
        <v>6</v>
      </c>
      <c r="C2" s="40" t="s">
        <v>213</v>
      </c>
      <c r="D2" s="190" t="s">
        <v>214</v>
      </c>
      <c r="E2" s="209" t="s">
        <v>215</v>
      </c>
      <c r="F2" s="209" t="s">
        <v>216</v>
      </c>
      <c r="G2" s="209" t="s">
        <v>217</v>
      </c>
      <c r="H2" s="209" t="s">
        <v>218</v>
      </c>
      <c r="I2" s="210" t="s">
        <v>219</v>
      </c>
      <c r="J2" s="210" t="s">
        <v>220</v>
      </c>
      <c r="K2" s="210" t="s">
        <v>221</v>
      </c>
      <c r="L2" s="211" t="s">
        <v>222</v>
      </c>
      <c r="M2" s="211" t="s">
        <v>223</v>
      </c>
      <c r="N2" s="212" t="s">
        <v>224</v>
      </c>
      <c r="O2" s="213" t="s">
        <v>225</v>
      </c>
      <c r="P2" s="209" t="s">
        <v>226</v>
      </c>
      <c r="Q2" s="214" t="s">
        <v>227</v>
      </c>
      <c r="R2" s="215" t="s">
        <v>228</v>
      </c>
      <c r="S2" s="216" t="s">
        <v>229</v>
      </c>
      <c r="T2" s="215" t="s">
        <v>256</v>
      </c>
      <c r="U2" s="214"/>
      <c r="Y2" s="217"/>
      <c r="Z2" s="217"/>
      <c r="AA2" s="217"/>
      <c r="AB2" s="217"/>
      <c r="AC2" s="217"/>
      <c r="AD2" s="217"/>
      <c r="AE2" s="217"/>
      <c r="AF2" s="217"/>
    </row>
    <row r="3" spans="1:32" ht="15.75">
      <c r="A3" s="105" t="s">
        <v>290</v>
      </c>
      <c r="B3" s="40"/>
      <c r="C3" s="40"/>
      <c r="D3" s="190"/>
      <c r="E3" s="190"/>
      <c r="F3" s="218"/>
      <c r="G3" s="209"/>
      <c r="H3" s="214"/>
      <c r="I3" s="210"/>
      <c r="J3" s="210"/>
      <c r="K3" s="210"/>
      <c r="L3" s="219"/>
      <c r="M3" s="219"/>
      <c r="N3" s="220"/>
      <c r="O3" s="221"/>
      <c r="P3" s="214"/>
      <c r="Q3" s="214"/>
      <c r="U3" s="217"/>
      <c r="V3" s="222" t="s">
        <v>230</v>
      </c>
      <c r="W3" s="222" t="s">
        <v>231</v>
      </c>
      <c r="X3" s="208">
        <v>1</v>
      </c>
      <c r="Y3" s="217"/>
      <c r="Z3" s="217"/>
      <c r="AA3" s="217"/>
      <c r="AB3" s="217"/>
      <c r="AC3" s="217"/>
      <c r="AD3" s="217"/>
      <c r="AE3" s="217"/>
      <c r="AF3" s="217"/>
    </row>
    <row r="4" spans="1:32" ht="15">
      <c r="A4" s="223" t="s">
        <v>137</v>
      </c>
      <c r="B4" s="40"/>
      <c r="C4" s="40"/>
      <c r="D4" s="190"/>
      <c r="E4" s="190"/>
      <c r="F4" s="218"/>
      <c r="G4" s="209"/>
      <c r="H4" s="214"/>
      <c r="I4" s="210"/>
      <c r="J4" s="210"/>
      <c r="K4" s="210"/>
      <c r="L4" s="219"/>
      <c r="M4" s="219"/>
      <c r="N4" s="220"/>
      <c r="O4" s="221"/>
      <c r="P4" s="214"/>
      <c r="Q4" s="214"/>
      <c r="U4" s="217"/>
      <c r="V4" s="222" t="s">
        <v>232</v>
      </c>
      <c r="W4" s="222" t="s">
        <v>233</v>
      </c>
      <c r="X4" s="208">
        <v>2</v>
      </c>
      <c r="Y4" s="217"/>
      <c r="Z4" s="217"/>
      <c r="AA4" s="217"/>
      <c r="AB4" s="217"/>
      <c r="AC4" s="217"/>
      <c r="AD4" s="217"/>
      <c r="AE4" s="217"/>
      <c r="AF4" s="217"/>
    </row>
    <row r="5" spans="1:32">
      <c r="A5" s="103" t="s">
        <v>77</v>
      </c>
      <c r="B5" s="40"/>
      <c r="C5" s="40"/>
      <c r="D5" s="190"/>
      <c r="E5" s="190"/>
      <c r="F5" s="218"/>
      <c r="G5" s="209"/>
      <c r="H5" s="214"/>
      <c r="I5" s="210"/>
      <c r="J5" s="210"/>
      <c r="K5" s="210"/>
      <c r="L5" s="219"/>
      <c r="M5" s="219"/>
      <c r="N5" s="220"/>
      <c r="O5" s="221"/>
      <c r="P5" s="214"/>
      <c r="Q5" s="214"/>
      <c r="U5" s="217"/>
      <c r="V5" s="222" t="s">
        <v>234</v>
      </c>
      <c r="W5" s="222" t="s">
        <v>235</v>
      </c>
      <c r="X5" s="208">
        <v>3</v>
      </c>
      <c r="Y5" s="217"/>
      <c r="Z5" s="217"/>
      <c r="AA5" s="217"/>
      <c r="AB5" s="217"/>
      <c r="AC5" s="217"/>
      <c r="AD5" s="217"/>
      <c r="AE5" s="217"/>
      <c r="AF5" s="217"/>
    </row>
    <row r="6" spans="1:32" s="226" customFormat="1">
      <c r="A6" s="102" t="s">
        <v>236</v>
      </c>
      <c r="B6" s="224" t="s">
        <v>139</v>
      </c>
      <c r="C6" s="224" t="s">
        <v>237</v>
      </c>
      <c r="D6" s="225">
        <v>1</v>
      </c>
      <c r="E6" s="190" t="s">
        <v>238</v>
      </c>
      <c r="F6" s="13">
        <v>8.3000000000000007</v>
      </c>
      <c r="G6" s="226" t="s">
        <v>239</v>
      </c>
      <c r="H6" s="227">
        <v>0</v>
      </c>
      <c r="I6" s="225">
        <v>57</v>
      </c>
      <c r="J6" s="225">
        <v>42</v>
      </c>
      <c r="K6" s="225">
        <v>2</v>
      </c>
      <c r="L6" s="228">
        <f>CHOOSE(LOOKUP(G6,$W$3:$X$6), "Enter Value", I6*D6*J6*K6*(1+H6), (PI()/4)*D6*I6*(1+H6)*J6^2, PI()*(1+H6)*D6*I6*J6*K6)</f>
        <v>15041.945625387929</v>
      </c>
      <c r="M6" s="228">
        <f>L6*F6</f>
        <v>124848.14869071983</v>
      </c>
      <c r="N6" s="229" t="e">
        <f>L6/E6</f>
        <v>#VALUE!</v>
      </c>
      <c r="O6" s="230">
        <v>6.0000000000000001E-3</v>
      </c>
      <c r="P6" s="217" t="s">
        <v>232</v>
      </c>
      <c r="Q6" s="231">
        <f>CHOOSE(LOOKUP(P6,$V$3:$V$5,$X$3:$X$5), O6*L6, O6*M6, O6*N6)</f>
        <v>749.08889214431895</v>
      </c>
      <c r="R6" s="232">
        <f>IF(C6="Test", M6, 0)</f>
        <v>0</v>
      </c>
      <c r="S6" s="232">
        <f>IF(C6="Test", N6, 0)</f>
        <v>0</v>
      </c>
      <c r="T6" s="206">
        <f t="shared" ref="T6:T40" si="0">IF(C6="Test", Q6, 0)</f>
        <v>0</v>
      </c>
      <c r="V6" s="208"/>
      <c r="W6" s="222" t="s">
        <v>239</v>
      </c>
      <c r="X6" s="208">
        <v>4</v>
      </c>
    </row>
    <row r="7" spans="1:32">
      <c r="A7" s="102" t="s">
        <v>240</v>
      </c>
      <c r="B7" s="224" t="s">
        <v>139</v>
      </c>
      <c r="C7" s="224" t="s">
        <v>233</v>
      </c>
      <c r="D7" s="225">
        <v>2</v>
      </c>
      <c r="E7" s="190" t="s">
        <v>238</v>
      </c>
      <c r="F7" s="13">
        <v>8.3000000000000007</v>
      </c>
      <c r="G7" s="226" t="s">
        <v>233</v>
      </c>
      <c r="H7" s="227">
        <v>0</v>
      </c>
      <c r="I7" s="225">
        <v>45</v>
      </c>
      <c r="J7" s="225">
        <v>45</v>
      </c>
      <c r="K7" s="225">
        <v>2</v>
      </c>
      <c r="L7" s="228">
        <f>CHOOSE(LOOKUP(G7,$W$3:$X$6), "Enter Value", I7*D7*J7*K7*(1+H7), (PI()/4)*D7*I7*(1+H7)*J7^2, PI()*(1+H7)*D7*I7*J7*K7)</f>
        <v>8100</v>
      </c>
      <c r="M7" s="228">
        <f>L7*F7</f>
        <v>67230</v>
      </c>
      <c r="N7" s="229" t="e">
        <f>L7/E7</f>
        <v>#VALUE!</v>
      </c>
      <c r="O7" s="230">
        <v>6.0000000000000001E-3</v>
      </c>
      <c r="P7" s="217" t="s">
        <v>232</v>
      </c>
      <c r="Q7" s="231">
        <f>CHOOSE(LOOKUP(P7,$V$3:$V$5,$X$3:$X$5), O7*L7, O7*M7, O7*N7)</f>
        <v>403.38</v>
      </c>
      <c r="R7" s="232">
        <f t="shared" ref="R7:R40" si="1">IF(C7="Test", M7, 0)</f>
        <v>0</v>
      </c>
      <c r="S7" s="232">
        <f t="shared" ref="S7:S40" si="2">IF(C7="Test", N7, 0)</f>
        <v>0</v>
      </c>
      <c r="T7" s="206">
        <f t="shared" si="0"/>
        <v>0</v>
      </c>
    </row>
    <row r="8" spans="1:32">
      <c r="A8" s="103" t="s">
        <v>239</v>
      </c>
      <c r="R8" s="232"/>
      <c r="S8" s="232"/>
    </row>
    <row r="9" spans="1:32">
      <c r="A9" s="102" t="s">
        <v>243</v>
      </c>
      <c r="B9" s="40" t="s">
        <v>241</v>
      </c>
      <c r="C9" s="224" t="s">
        <v>242</v>
      </c>
      <c r="D9" s="225">
        <v>1.5</v>
      </c>
      <c r="E9" s="225">
        <v>330</v>
      </c>
      <c r="F9" s="13">
        <v>1.8</v>
      </c>
      <c r="G9" s="226" t="s">
        <v>239</v>
      </c>
      <c r="H9" s="227">
        <v>0.3</v>
      </c>
      <c r="I9" s="225">
        <v>40</v>
      </c>
      <c r="J9" s="225">
        <v>42</v>
      </c>
      <c r="K9" s="225">
        <v>0.16500000000000001</v>
      </c>
      <c r="L9" s="228">
        <f t="shared" ref="L9:L10" si="3">CHOOSE(LOOKUP(G9,$W$3:$X$6), "Enter Value", I9*D9*J9*K9*(1+H9), (PI()/4)*D9*I9*(1+H9)*J9^2, PI()*(1+H9)*D9*I9*J9*K9)</f>
        <v>1698.1564929714268</v>
      </c>
      <c r="M9" s="228">
        <f t="shared" ref="M9:M10" si="4">L9*F9</f>
        <v>3056.6816873485682</v>
      </c>
      <c r="N9" s="229">
        <f t="shared" ref="N9" si="5">L9/E9</f>
        <v>5.1459287665800817</v>
      </c>
      <c r="O9" s="230">
        <v>1.0329999999999999</v>
      </c>
      <c r="P9" s="217" t="s">
        <v>232</v>
      </c>
      <c r="Q9" s="231">
        <f t="shared" ref="Q9:Q10" si="6">CHOOSE(LOOKUP(P9,$V$3:$V$5,$X$3:$X$5), O9*L9, O9*M9, O9*N9)</f>
        <v>3157.5521830310709</v>
      </c>
      <c r="R9" s="232">
        <f t="shared" si="1"/>
        <v>0</v>
      </c>
      <c r="S9" s="232">
        <f>IF(C9="Test", N9, 0)</f>
        <v>0</v>
      </c>
      <c r="T9" s="206">
        <f t="shared" si="0"/>
        <v>0</v>
      </c>
    </row>
    <row r="10" spans="1:32">
      <c r="A10" s="102" t="s">
        <v>244</v>
      </c>
      <c r="B10" s="40" t="s">
        <v>241</v>
      </c>
      <c r="C10" s="224" t="s">
        <v>63</v>
      </c>
      <c r="D10" s="225">
        <v>0.5</v>
      </c>
      <c r="E10" s="225">
        <v>330</v>
      </c>
      <c r="F10" s="13">
        <v>1.8</v>
      </c>
      <c r="G10" s="226" t="s">
        <v>239</v>
      </c>
      <c r="H10" s="227">
        <v>0.3</v>
      </c>
      <c r="I10" s="225">
        <v>40</v>
      </c>
      <c r="J10" s="225">
        <v>42</v>
      </c>
      <c r="K10" s="225">
        <v>0.16500000000000001</v>
      </c>
      <c r="L10" s="228">
        <f t="shared" si="3"/>
        <v>566.05216432380894</v>
      </c>
      <c r="M10" s="228">
        <f t="shared" si="4"/>
        <v>1018.8938957828561</v>
      </c>
      <c r="N10" s="229">
        <f>L10/E10</f>
        <v>1.7153095888600272</v>
      </c>
      <c r="O10" s="230">
        <v>1.0329999999999999</v>
      </c>
      <c r="P10" s="217" t="s">
        <v>232</v>
      </c>
      <c r="Q10" s="231">
        <f t="shared" si="6"/>
        <v>1052.5173943436903</v>
      </c>
      <c r="R10" s="232">
        <f t="shared" si="1"/>
        <v>1018.8938957828561</v>
      </c>
      <c r="S10" s="232">
        <f t="shared" si="2"/>
        <v>1.7153095888600272</v>
      </c>
      <c r="T10" s="206">
        <f t="shared" si="0"/>
        <v>1052.5173943436903</v>
      </c>
    </row>
    <row r="11" spans="1:32" ht="15">
      <c r="A11" s="223" t="s">
        <v>283</v>
      </c>
      <c r="B11" s="40"/>
      <c r="C11" s="40"/>
      <c r="D11" s="190"/>
      <c r="E11" s="190"/>
      <c r="F11" s="218"/>
      <c r="G11" s="209"/>
      <c r="H11" s="214"/>
      <c r="I11" s="210"/>
      <c r="J11" s="210"/>
      <c r="K11" s="210"/>
      <c r="L11" s="219"/>
      <c r="M11" s="219"/>
      <c r="N11" s="220"/>
      <c r="O11" s="221"/>
      <c r="P11" s="214"/>
      <c r="Q11" s="214"/>
      <c r="R11" s="232"/>
      <c r="S11" s="232"/>
    </row>
    <row r="12" spans="1:32">
      <c r="A12" s="103" t="s">
        <v>77</v>
      </c>
      <c r="B12" s="40"/>
      <c r="C12" s="40"/>
      <c r="D12" s="190"/>
      <c r="E12" s="190"/>
      <c r="F12" s="218"/>
      <c r="G12" s="209"/>
      <c r="H12" s="214"/>
      <c r="I12" s="210"/>
      <c r="J12" s="210"/>
      <c r="K12" s="210"/>
      <c r="L12" s="219"/>
      <c r="M12" s="219"/>
      <c r="N12" s="220"/>
      <c r="O12" s="221"/>
      <c r="P12" s="214"/>
      <c r="Q12" s="214"/>
      <c r="R12" s="232"/>
      <c r="S12" s="232"/>
    </row>
    <row r="13" spans="1:32">
      <c r="A13" s="102" t="s">
        <v>258</v>
      </c>
      <c r="B13" s="224" t="s">
        <v>7</v>
      </c>
      <c r="C13" s="224" t="s">
        <v>233</v>
      </c>
      <c r="D13" s="225">
        <v>1</v>
      </c>
      <c r="E13" s="190" t="s">
        <v>238</v>
      </c>
      <c r="F13" s="13">
        <v>2.7</v>
      </c>
      <c r="G13" s="226" t="s">
        <v>233</v>
      </c>
      <c r="H13" s="227">
        <v>0</v>
      </c>
      <c r="I13" s="225">
        <v>100</v>
      </c>
      <c r="J13" s="225">
        <v>15</v>
      </c>
      <c r="K13" s="225">
        <v>4</v>
      </c>
      <c r="L13" s="228">
        <f>CHOOSE(LOOKUP(G13,$W$3:$X$6), "Enter Value", I13*D13*J13*K13*(1+H13), (PI()/4)*D13*I13*(1+H13)*J13^2, PI()*(1+H13)*D13*I13*J13*K13)</f>
        <v>6000</v>
      </c>
      <c r="M13" s="228">
        <f>L13*F13</f>
        <v>16200.000000000002</v>
      </c>
      <c r="N13" s="229" t="e">
        <f>L13/E13</f>
        <v>#VALUE!</v>
      </c>
      <c r="O13" s="230">
        <v>1.7000000000000001E-2</v>
      </c>
      <c r="P13" s="217" t="s">
        <v>232</v>
      </c>
      <c r="Q13" s="231">
        <f>CHOOSE(LOOKUP(P13,$V$3:$V$5,$X$3:$X$5), O13*L13, O13*M13, O13*N13)</f>
        <v>275.40000000000003</v>
      </c>
      <c r="R13" s="232">
        <f>IF(C13="Test", M13, 0)</f>
        <v>0</v>
      </c>
      <c r="S13" s="232">
        <f>IF(C13="Test", N13, 0)</f>
        <v>0</v>
      </c>
      <c r="T13" s="206">
        <f>IF(C13="Test", Q13, 0)</f>
        <v>0</v>
      </c>
    </row>
    <row r="14" spans="1:32">
      <c r="A14" s="102" t="s">
        <v>284</v>
      </c>
      <c r="B14" s="224" t="s">
        <v>7</v>
      </c>
      <c r="C14" s="224" t="s">
        <v>233</v>
      </c>
      <c r="D14" s="225">
        <v>1</v>
      </c>
      <c r="E14" s="190" t="s">
        <v>238</v>
      </c>
      <c r="F14" s="13">
        <v>2.7</v>
      </c>
      <c r="G14" s="226" t="s">
        <v>233</v>
      </c>
      <c r="H14" s="227">
        <v>0</v>
      </c>
      <c r="I14" s="225">
        <v>100</v>
      </c>
      <c r="J14" s="225">
        <v>15</v>
      </c>
      <c r="K14" s="225">
        <v>4</v>
      </c>
      <c r="L14" s="228">
        <f>CHOOSE(LOOKUP(G14,$W$3:$X$6), "Enter Value", I14*D14*J14*K14*(1+H14), (PI()/4)*D14*I14*(1+H14)*J14^2, PI()*(1+H14)*D14*I14*J14*K14)</f>
        <v>6000</v>
      </c>
      <c r="M14" s="228">
        <f>L14*F14</f>
        <v>16200.000000000002</v>
      </c>
      <c r="N14" s="229" t="e">
        <f>L14/E14</f>
        <v>#VALUE!</v>
      </c>
      <c r="O14" s="230">
        <v>1.7000000000000001E-2</v>
      </c>
      <c r="P14" s="217" t="s">
        <v>232</v>
      </c>
      <c r="Q14" s="231">
        <f>CHOOSE(LOOKUP(P14,$V$3:$V$5,$X$3:$X$5), O14*L14, O14*M14, O14*N14)</f>
        <v>275.40000000000003</v>
      </c>
      <c r="R14" s="232">
        <f>IF(C14="Test", M14, 0)</f>
        <v>0</v>
      </c>
      <c r="S14" s="232">
        <f>IF(C14="Test", N14, 0)</f>
        <v>0</v>
      </c>
      <c r="T14" s="206">
        <f>IF(C14="Test", Q14, 0)</f>
        <v>0</v>
      </c>
    </row>
    <row r="15" spans="1:32">
      <c r="A15" s="103" t="s">
        <v>247</v>
      </c>
      <c r="R15" s="232"/>
      <c r="S15" s="232"/>
    </row>
    <row r="16" spans="1:32">
      <c r="A16" s="102" t="s">
        <v>285</v>
      </c>
      <c r="B16" s="40" t="s">
        <v>241</v>
      </c>
      <c r="C16" s="224" t="s">
        <v>242</v>
      </c>
      <c r="D16" s="225">
        <v>5</v>
      </c>
      <c r="E16" s="225">
        <v>330</v>
      </c>
      <c r="F16" s="13">
        <v>1.8</v>
      </c>
      <c r="G16" s="226" t="s">
        <v>233</v>
      </c>
      <c r="H16" s="227">
        <v>0.3</v>
      </c>
      <c r="I16" s="225">
        <v>80</v>
      </c>
      <c r="J16" s="225">
        <v>2.5</v>
      </c>
      <c r="K16" s="225">
        <v>0.82499999999999996</v>
      </c>
      <c r="L16" s="228">
        <f>CHOOSE(LOOKUP(G16,$W$3:$X$6), "Enter Value", I16*D16*J16*K16*(1+H16), (PI()/4)*D16*I16*(1+H16)*J16^2, PI()*(1+H16)*D16*I16*J16*K16)</f>
        <v>1072.5</v>
      </c>
      <c r="M16" s="228">
        <f>L16*F16</f>
        <v>1930.5</v>
      </c>
      <c r="N16" s="229">
        <f>L16/E16</f>
        <v>3.25</v>
      </c>
      <c r="O16" s="230">
        <v>1.0329999999999999</v>
      </c>
      <c r="P16" s="217" t="s">
        <v>232</v>
      </c>
      <c r="Q16" s="231">
        <f>CHOOSE(LOOKUP(P16,$V$3:$V$5,$X$3:$X$5), O16*L16, O16*M16, O16*N16)</f>
        <v>1994.2064999999998</v>
      </c>
      <c r="R16" s="232">
        <f t="shared" si="1"/>
        <v>0</v>
      </c>
      <c r="S16" s="232">
        <f t="shared" si="2"/>
        <v>0</v>
      </c>
      <c r="T16" s="206">
        <f t="shared" si="0"/>
        <v>0</v>
      </c>
    </row>
    <row r="17" spans="1:20">
      <c r="A17" s="102" t="s">
        <v>286</v>
      </c>
      <c r="B17" s="40" t="s">
        <v>241</v>
      </c>
      <c r="C17" s="224" t="s">
        <v>63</v>
      </c>
      <c r="D17" s="225">
        <v>2</v>
      </c>
      <c r="E17" s="225">
        <v>330</v>
      </c>
      <c r="F17" s="13">
        <v>1.8</v>
      </c>
      <c r="G17" s="226" t="s">
        <v>233</v>
      </c>
      <c r="H17" s="227">
        <v>0.5</v>
      </c>
      <c r="I17" s="225">
        <v>20</v>
      </c>
      <c r="J17" s="225">
        <v>3</v>
      </c>
      <c r="K17" s="225">
        <v>0.82499999999999996</v>
      </c>
      <c r="L17" s="228">
        <f>CHOOSE(LOOKUP(G17,$W$3:$X$6), "Enter Value", I17*D17*J17*K17*(1+H17), (PI()/4)*D17*I17*(1+H17)*J17^2, PI()*(1+H17)*D17*I17*J17*K17)</f>
        <v>148.5</v>
      </c>
      <c r="M17" s="228">
        <f>L17*F17</f>
        <v>267.3</v>
      </c>
      <c r="N17" s="229">
        <f>L17/E17</f>
        <v>0.45</v>
      </c>
      <c r="O17" s="230">
        <v>1.0329999999999999</v>
      </c>
      <c r="P17" s="217" t="s">
        <v>232</v>
      </c>
      <c r="Q17" s="231">
        <f>CHOOSE(LOOKUP(P17,$V$3:$V$5,$X$3:$X$5), O17*L17, O17*M17, O17*N17)</f>
        <v>276.12090000000001</v>
      </c>
      <c r="R17" s="232">
        <f t="shared" si="1"/>
        <v>267.3</v>
      </c>
      <c r="S17" s="232">
        <f t="shared" si="2"/>
        <v>0.45</v>
      </c>
      <c r="T17" s="206">
        <f t="shared" si="0"/>
        <v>276.12090000000001</v>
      </c>
    </row>
    <row r="18" spans="1:20" ht="15">
      <c r="A18" s="223" t="s">
        <v>287</v>
      </c>
      <c r="B18" s="40"/>
      <c r="C18" s="40"/>
      <c r="D18" s="190"/>
      <c r="E18" s="190"/>
      <c r="F18" s="218"/>
      <c r="G18" s="209"/>
      <c r="H18" s="214"/>
      <c r="I18" s="210"/>
      <c r="J18" s="210"/>
      <c r="K18" s="210"/>
      <c r="L18" s="219"/>
      <c r="M18" s="219"/>
      <c r="N18" s="220"/>
      <c r="O18" s="221"/>
      <c r="P18" s="214"/>
      <c r="Q18" s="214"/>
      <c r="R18" s="232"/>
      <c r="S18" s="232"/>
    </row>
    <row r="19" spans="1:20">
      <c r="A19" s="103" t="s">
        <v>77</v>
      </c>
      <c r="B19" s="40"/>
      <c r="C19" s="40"/>
      <c r="D19" s="190"/>
      <c r="E19" s="190"/>
      <c r="F19" s="218"/>
      <c r="G19" s="209"/>
      <c r="H19" s="214"/>
      <c r="I19" s="210"/>
      <c r="J19" s="210"/>
      <c r="K19" s="210"/>
      <c r="L19" s="219"/>
      <c r="M19" s="219"/>
      <c r="N19" s="220"/>
      <c r="O19" s="221"/>
      <c r="P19" s="214"/>
      <c r="Q19" s="214"/>
      <c r="R19" s="232"/>
      <c r="S19" s="232"/>
    </row>
    <row r="20" spans="1:20">
      <c r="A20" s="102" t="s">
        <v>249</v>
      </c>
      <c r="B20" s="224" t="s">
        <v>7</v>
      </c>
      <c r="C20" s="224" t="s">
        <v>233</v>
      </c>
      <c r="D20" s="225">
        <v>1</v>
      </c>
      <c r="E20" s="190" t="s">
        <v>238</v>
      </c>
      <c r="F20" s="13">
        <v>2.7</v>
      </c>
      <c r="G20" s="226" t="s">
        <v>233</v>
      </c>
      <c r="H20" s="227">
        <v>0</v>
      </c>
      <c r="I20" s="225">
        <v>45</v>
      </c>
      <c r="J20" s="225">
        <v>22</v>
      </c>
      <c r="K20" s="225">
        <v>2</v>
      </c>
      <c r="L20" s="228">
        <f>CHOOSE(LOOKUP(G20,$W$3:$X$6), "Enter Value", I20*D20*J20*K20*(1+H20), (PI()/4)*D20*I20*(1+H20)*J20^2, PI()*(1+H20)*D20*I20*J20*K20)</f>
        <v>1980</v>
      </c>
      <c r="M20" s="228">
        <f>L20*F20</f>
        <v>5346</v>
      </c>
      <c r="N20" s="229" t="e">
        <f>L20/E20</f>
        <v>#VALUE!</v>
      </c>
      <c r="O20" s="230">
        <v>1.7000000000000001E-2</v>
      </c>
      <c r="P20" s="217" t="s">
        <v>232</v>
      </c>
      <c r="Q20" s="231">
        <f>CHOOSE(LOOKUP(P20,$V$3:$V$5,$X$3:$X$5), O20*L20, O20*M20, O20*N20)</f>
        <v>90.882000000000005</v>
      </c>
      <c r="R20" s="232">
        <f t="shared" si="1"/>
        <v>0</v>
      </c>
      <c r="S20" s="232">
        <f t="shared" si="2"/>
        <v>0</v>
      </c>
      <c r="T20" s="206">
        <f t="shared" si="0"/>
        <v>0</v>
      </c>
    </row>
    <row r="21" spans="1:20">
      <c r="A21" s="102" t="s">
        <v>143</v>
      </c>
      <c r="B21" s="224" t="s">
        <v>7</v>
      </c>
      <c r="C21" s="224" t="s">
        <v>233</v>
      </c>
      <c r="D21" s="225">
        <v>1</v>
      </c>
      <c r="E21" s="190" t="s">
        <v>238</v>
      </c>
      <c r="F21" s="13">
        <v>2.7</v>
      </c>
      <c r="G21" s="226" t="s">
        <v>233</v>
      </c>
      <c r="H21" s="227">
        <v>0</v>
      </c>
      <c r="I21" s="225">
        <v>45</v>
      </c>
      <c r="J21" s="225">
        <v>22</v>
      </c>
      <c r="K21" s="225">
        <v>2</v>
      </c>
      <c r="L21" s="228">
        <f>CHOOSE(LOOKUP(G21,$W$3:$X$6), "Enter Value", I21*D21*J21*K21*(1+H21), (PI()/4)*D21*I21*(1+H21)*J21^2, PI()*(1+H21)*D21*I21*J21*K21)</f>
        <v>1980</v>
      </c>
      <c r="M21" s="228">
        <f>L21*F21</f>
        <v>5346</v>
      </c>
      <c r="N21" s="229" t="e">
        <f>L21/E21</f>
        <v>#VALUE!</v>
      </c>
      <c r="O21" s="230">
        <v>1.7000000000000001E-2</v>
      </c>
      <c r="P21" s="217" t="s">
        <v>232</v>
      </c>
      <c r="Q21" s="231">
        <f>CHOOSE(LOOKUP(P21,$V$3:$V$5,$X$3:$X$5), O21*L21, O21*M21, O21*N21)</f>
        <v>90.882000000000005</v>
      </c>
      <c r="R21" s="232">
        <f t="shared" si="1"/>
        <v>0</v>
      </c>
      <c r="S21" s="232">
        <f t="shared" si="2"/>
        <v>0</v>
      </c>
      <c r="T21" s="206">
        <f t="shared" si="0"/>
        <v>0</v>
      </c>
    </row>
    <row r="22" spans="1:20">
      <c r="A22" s="103" t="s">
        <v>247</v>
      </c>
      <c r="R22" s="232"/>
      <c r="S22" s="232"/>
    </row>
    <row r="23" spans="1:20">
      <c r="A23" s="102" t="s">
        <v>301</v>
      </c>
      <c r="B23" s="40" t="s">
        <v>241</v>
      </c>
      <c r="C23" s="224" t="s">
        <v>242</v>
      </c>
      <c r="D23" s="225">
        <v>5</v>
      </c>
      <c r="E23" s="225">
        <v>330</v>
      </c>
      <c r="F23" s="13">
        <v>1.8</v>
      </c>
      <c r="G23" s="226" t="s">
        <v>239</v>
      </c>
      <c r="H23" s="227">
        <v>0.6</v>
      </c>
      <c r="I23" s="225">
        <v>0.33</v>
      </c>
      <c r="J23" s="225">
        <v>35</v>
      </c>
      <c r="K23" s="225">
        <v>7</v>
      </c>
      <c r="L23" s="228">
        <f t="shared" ref="L23:L24" si="7">CHOOSE(LOOKUP(G23,$W$3:$X$6), "Enter Value", I23*D23*J23*K23*(1+H23), (PI()/4)*D23*I23*(1+H23)*J23^2, PI()*(1+H23)*D23*I23*J23*K23)</f>
        <v>2031.9821283418785</v>
      </c>
      <c r="M23" s="228">
        <f t="shared" ref="M23:M24" si="8">L23*F23</f>
        <v>3657.5678310153812</v>
      </c>
      <c r="N23" s="229">
        <f t="shared" ref="N23" si="9">L23/E23</f>
        <v>6.1575216010359952</v>
      </c>
      <c r="O23" s="230">
        <v>1.0329999999999999</v>
      </c>
      <c r="P23" s="217" t="s">
        <v>232</v>
      </c>
      <c r="Q23" s="231">
        <f t="shared" ref="Q23:Q24" si="10">CHOOSE(LOOKUP(P23,$V$3:$V$5,$X$3:$X$5), O23*L23, O23*M23, O23*N23)</f>
        <v>3778.2675694388886</v>
      </c>
      <c r="R23" s="232">
        <f t="shared" ref="R23:R24" si="11">IF(C23="Test", M23, 0)</f>
        <v>0</v>
      </c>
      <c r="S23" s="232">
        <f>IF(C23="Test", N23, 0)</f>
        <v>0</v>
      </c>
      <c r="T23" s="206">
        <f t="shared" ref="T23:T24" si="12">IF(C23="Test", Q23, 0)</f>
        <v>0</v>
      </c>
    </row>
    <row r="24" spans="1:20">
      <c r="A24" s="102" t="s">
        <v>289</v>
      </c>
      <c r="B24" s="40" t="s">
        <v>241</v>
      </c>
      <c r="C24" s="224" t="s">
        <v>63</v>
      </c>
      <c r="D24" s="225">
        <v>1</v>
      </c>
      <c r="E24" s="225">
        <v>330</v>
      </c>
      <c r="F24" s="13">
        <v>1.8</v>
      </c>
      <c r="G24" s="226" t="s">
        <v>239</v>
      </c>
      <c r="H24" s="227">
        <v>0.6</v>
      </c>
      <c r="I24" s="225">
        <v>0.33</v>
      </c>
      <c r="J24" s="225">
        <v>35</v>
      </c>
      <c r="K24" s="225">
        <v>7</v>
      </c>
      <c r="L24" s="228">
        <f t="shared" si="7"/>
        <v>406.39642566837568</v>
      </c>
      <c r="M24" s="228">
        <f t="shared" si="8"/>
        <v>731.51356620307627</v>
      </c>
      <c r="N24" s="229">
        <f>L24/E24</f>
        <v>1.2315043202071991</v>
      </c>
      <c r="O24" s="230">
        <v>1.0329999999999999</v>
      </c>
      <c r="P24" s="217" t="s">
        <v>232</v>
      </c>
      <c r="Q24" s="231">
        <f t="shared" si="10"/>
        <v>755.65351388777776</v>
      </c>
      <c r="R24" s="232">
        <f t="shared" si="11"/>
        <v>731.51356620307627</v>
      </c>
      <c r="S24" s="232">
        <f t="shared" ref="S24" si="13">IF(C24="Test", N24, 0)</f>
        <v>1.2315043202071991</v>
      </c>
      <c r="T24" s="206">
        <f t="shared" si="12"/>
        <v>755.65351388777776</v>
      </c>
    </row>
    <row r="25" spans="1:20" ht="15">
      <c r="A25" s="223" t="s">
        <v>300</v>
      </c>
      <c r="B25" s="40"/>
      <c r="C25" s="40"/>
      <c r="D25" s="190"/>
      <c r="E25" s="190"/>
      <c r="F25" s="218"/>
      <c r="G25" s="209"/>
      <c r="H25" s="214"/>
      <c r="I25" s="210"/>
      <c r="J25" s="210"/>
      <c r="K25" s="210"/>
      <c r="L25" s="219"/>
      <c r="M25" s="219"/>
      <c r="N25" s="220"/>
      <c r="O25" s="221"/>
      <c r="P25" s="214"/>
      <c r="Q25" s="214"/>
      <c r="R25" s="232"/>
      <c r="S25" s="232"/>
    </row>
    <row r="26" spans="1:20">
      <c r="A26" s="103" t="s">
        <v>77</v>
      </c>
      <c r="B26" s="40"/>
      <c r="C26" s="40"/>
      <c r="D26" s="190"/>
      <c r="E26" s="190"/>
      <c r="F26" s="218"/>
      <c r="G26" s="209"/>
      <c r="H26" s="214"/>
      <c r="I26" s="210"/>
      <c r="J26" s="210"/>
      <c r="K26" s="210"/>
      <c r="L26" s="219"/>
      <c r="M26" s="219"/>
      <c r="N26" s="220"/>
      <c r="O26" s="221"/>
      <c r="P26" s="214"/>
      <c r="Q26" s="214"/>
      <c r="R26" s="232"/>
      <c r="S26" s="232"/>
    </row>
    <row r="27" spans="1:20">
      <c r="A27" s="102" t="s">
        <v>249</v>
      </c>
      <c r="B27" s="224" t="s">
        <v>7</v>
      </c>
      <c r="C27" s="224" t="s">
        <v>233</v>
      </c>
      <c r="D27" s="225">
        <v>1</v>
      </c>
      <c r="E27" s="190" t="s">
        <v>238</v>
      </c>
      <c r="F27" s="13">
        <v>2.7</v>
      </c>
      <c r="G27" s="226" t="s">
        <v>233</v>
      </c>
      <c r="H27" s="227">
        <v>0</v>
      </c>
      <c r="I27" s="225">
        <v>70</v>
      </c>
      <c r="J27" s="225">
        <v>22</v>
      </c>
      <c r="K27" s="225">
        <v>2</v>
      </c>
      <c r="L27" s="228">
        <f>CHOOSE(LOOKUP(G27,$W$3:$X$6), "Enter Value", I27*D27*J27*K27*(1+H27), (PI()/4)*D27*I27*(1+H27)*J27^2, PI()*(1+H27)*D27*I27*J27*K27)</f>
        <v>3080</v>
      </c>
      <c r="M27" s="228">
        <f>L27*F27</f>
        <v>8316</v>
      </c>
      <c r="N27" s="229" t="e">
        <f>L27/E27</f>
        <v>#VALUE!</v>
      </c>
      <c r="O27" s="230">
        <v>1.7000000000000001E-2</v>
      </c>
      <c r="P27" s="217" t="s">
        <v>232</v>
      </c>
      <c r="Q27" s="231">
        <f>CHOOSE(LOOKUP(P27,$V$3:$V$5,$X$3:$X$5), O27*L27, O27*M27, O27*N27)</f>
        <v>141.37200000000001</v>
      </c>
      <c r="R27" s="232">
        <f t="shared" ref="R27:R28" si="14">IF(C27="Test", M27, 0)</f>
        <v>0</v>
      </c>
      <c r="S27" s="232">
        <f t="shared" ref="S27:S28" si="15">IF(C27="Test", N27, 0)</f>
        <v>0</v>
      </c>
      <c r="T27" s="206">
        <f t="shared" ref="T27:T28" si="16">IF(C27="Test", Q27, 0)</f>
        <v>0</v>
      </c>
    </row>
    <row r="28" spans="1:20">
      <c r="A28" s="102" t="s">
        <v>143</v>
      </c>
      <c r="B28" s="224" t="s">
        <v>7</v>
      </c>
      <c r="C28" s="224" t="s">
        <v>233</v>
      </c>
      <c r="D28" s="225">
        <v>1</v>
      </c>
      <c r="E28" s="190" t="s">
        <v>238</v>
      </c>
      <c r="F28" s="13">
        <v>2.7</v>
      </c>
      <c r="G28" s="226" t="s">
        <v>233</v>
      </c>
      <c r="H28" s="227">
        <v>0</v>
      </c>
      <c r="I28" s="225">
        <v>70</v>
      </c>
      <c r="J28" s="225">
        <v>22</v>
      </c>
      <c r="K28" s="225">
        <v>2</v>
      </c>
      <c r="L28" s="228">
        <f>CHOOSE(LOOKUP(G28,$W$3:$X$6), "Enter Value", I28*D28*J28*K28*(1+H28), (PI()/4)*D28*I28*(1+H28)*J28^2, PI()*(1+H28)*D28*I28*J28*K28)</f>
        <v>3080</v>
      </c>
      <c r="M28" s="228">
        <f>L28*F28</f>
        <v>8316</v>
      </c>
      <c r="N28" s="229" t="e">
        <f>L28/E28</f>
        <v>#VALUE!</v>
      </c>
      <c r="O28" s="230">
        <v>1.7000000000000001E-2</v>
      </c>
      <c r="P28" s="217" t="s">
        <v>232</v>
      </c>
      <c r="Q28" s="231">
        <f>CHOOSE(LOOKUP(P28,$V$3:$V$5,$X$3:$X$5), O28*L28, O28*M28, O28*N28)</f>
        <v>141.37200000000001</v>
      </c>
      <c r="R28" s="232">
        <f t="shared" si="14"/>
        <v>0</v>
      </c>
      <c r="S28" s="232">
        <f t="shared" si="15"/>
        <v>0</v>
      </c>
      <c r="T28" s="206">
        <f t="shared" si="16"/>
        <v>0</v>
      </c>
    </row>
    <row r="29" spans="1:20">
      <c r="A29" s="103" t="s">
        <v>247</v>
      </c>
      <c r="R29" s="232"/>
      <c r="S29" s="232"/>
    </row>
    <row r="30" spans="1:20">
      <c r="A30" s="102" t="s">
        <v>300</v>
      </c>
      <c r="B30" s="40" t="s">
        <v>241</v>
      </c>
      <c r="C30" s="224" t="s">
        <v>242</v>
      </c>
      <c r="D30" s="225">
        <v>5</v>
      </c>
      <c r="E30" s="225">
        <v>330</v>
      </c>
      <c r="F30" s="13">
        <v>1.8</v>
      </c>
      <c r="G30" s="226" t="s">
        <v>239</v>
      </c>
      <c r="H30" s="227">
        <v>0.3</v>
      </c>
      <c r="I30" s="225">
        <v>39</v>
      </c>
      <c r="J30" s="225">
        <v>16</v>
      </c>
      <c r="K30" s="225">
        <v>0.42899999999999999</v>
      </c>
      <c r="L30" s="228">
        <f t="shared" ref="L30" si="17">CHOOSE(LOOKUP(G30,$W$3:$X$6), "Enter Value", I30*D30*J30*K30*(1+H30), (PI()/4)*D30*I30*(1+H30)*J30^2, PI()*(1+H30)*D30*I30*J30*K30)</f>
        <v>5466.4466154699267</v>
      </c>
      <c r="M30" s="228">
        <f t="shared" ref="M30" si="18">L30*F30</f>
        <v>9839.6039078458689</v>
      </c>
      <c r="N30" s="229">
        <f t="shared" ref="N30" si="19">L30/E30</f>
        <v>16.564989743848262</v>
      </c>
      <c r="O30" s="230">
        <v>1.0329999999999999</v>
      </c>
      <c r="P30" s="217" t="s">
        <v>232</v>
      </c>
      <c r="Q30" s="231">
        <f t="shared" ref="Q30" si="20">CHOOSE(LOOKUP(P30,$V$3:$V$5,$X$3:$X$5), O30*L30, O30*M30, O30*N30)</f>
        <v>10164.310836804782</v>
      </c>
      <c r="R30" s="232">
        <f t="shared" ref="R30" si="21">IF(C30="Test", M30, 0)</f>
        <v>0</v>
      </c>
      <c r="S30" s="232">
        <f>IF(C30="Test", N30, 0)</f>
        <v>0</v>
      </c>
      <c r="T30" s="206">
        <f t="shared" ref="T30" si="22">IF(C30="Test", Q30, 0)</f>
        <v>0</v>
      </c>
    </row>
    <row r="31" spans="1:20" ht="15">
      <c r="A31" s="223" t="s">
        <v>291</v>
      </c>
      <c r="B31" s="40"/>
      <c r="C31" s="40"/>
      <c r="D31" s="190"/>
      <c r="E31" s="190"/>
      <c r="F31" s="218"/>
      <c r="G31" s="209"/>
      <c r="H31" s="214"/>
      <c r="I31" s="210"/>
      <c r="J31" s="210"/>
      <c r="K31" s="210"/>
      <c r="L31" s="219"/>
      <c r="M31" s="219"/>
      <c r="N31" s="220"/>
      <c r="O31" s="221"/>
      <c r="P31" s="214"/>
      <c r="Q31" s="214"/>
      <c r="R31" s="232"/>
      <c r="S31" s="232"/>
    </row>
    <row r="32" spans="1:20">
      <c r="A32" s="103" t="s">
        <v>241</v>
      </c>
      <c r="B32" s="40"/>
      <c r="C32" s="40"/>
      <c r="D32" s="190"/>
      <c r="E32" s="190"/>
      <c r="F32" s="218"/>
      <c r="G32" s="209"/>
      <c r="H32" s="214"/>
      <c r="I32" s="210"/>
      <c r="J32" s="210"/>
      <c r="K32" s="210"/>
      <c r="L32" s="219"/>
      <c r="M32" s="219"/>
      <c r="N32" s="220"/>
      <c r="O32" s="221"/>
      <c r="P32" s="214"/>
      <c r="Q32" s="214"/>
      <c r="R32" s="232"/>
      <c r="S32" s="232"/>
    </row>
    <row r="33" spans="1:20">
      <c r="A33" s="102" t="s">
        <v>292</v>
      </c>
      <c r="B33" s="40" t="s">
        <v>241</v>
      </c>
      <c r="C33" s="224" t="s">
        <v>63</v>
      </c>
      <c r="D33" s="225">
        <v>5</v>
      </c>
      <c r="E33" s="225">
        <v>330</v>
      </c>
      <c r="F33" s="13">
        <v>1.8</v>
      </c>
      <c r="G33" s="226" t="s">
        <v>233</v>
      </c>
      <c r="H33" s="227">
        <v>0.3</v>
      </c>
      <c r="I33" s="225">
        <v>30</v>
      </c>
      <c r="J33" s="225">
        <v>30</v>
      </c>
      <c r="K33" s="225">
        <v>0.1</v>
      </c>
      <c r="L33" s="228">
        <f>CHOOSE(LOOKUP(G33,$W$3:$X$6), "Enter Value", I33*D33*J33*K33*(1+H33), (PI()/4)*D33*I33*(1+H33)*J33^2, PI()*(1+H33)*D33*I33*J33*K33)</f>
        <v>585</v>
      </c>
      <c r="M33" s="228">
        <f>L33*F33</f>
        <v>1053</v>
      </c>
      <c r="N33" s="229">
        <f>L33/E33</f>
        <v>1.7727272727272727</v>
      </c>
      <c r="O33" s="230">
        <v>1.0329999999999999</v>
      </c>
      <c r="P33" s="217" t="s">
        <v>232</v>
      </c>
      <c r="Q33" s="231">
        <f>CHOOSE(LOOKUP(P33,$V$3:$V$5,$X$3:$X$5), O33*L33, O33*M33, O33*N33)</f>
        <v>1087.749</v>
      </c>
      <c r="R33" s="232">
        <f t="shared" ref="R33" si="23">IF(C33="Test", M33, 0)</f>
        <v>1053</v>
      </c>
      <c r="S33" s="232">
        <f t="shared" ref="S33" si="24">IF(C33="Test", N33, 0)</f>
        <v>1.7727272727272727</v>
      </c>
      <c r="T33" s="206">
        <f t="shared" ref="T33" si="25">IF(C33="Test", Q33, 0)</f>
        <v>1087.749</v>
      </c>
    </row>
    <row r="34" spans="1:20" ht="15">
      <c r="A34" s="223" t="s">
        <v>133</v>
      </c>
      <c r="B34" s="40"/>
      <c r="C34" s="40"/>
      <c r="D34" s="190"/>
      <c r="E34" s="190"/>
      <c r="F34" s="218"/>
      <c r="G34" s="209"/>
      <c r="H34" s="214"/>
      <c r="I34" s="210"/>
      <c r="J34" s="210"/>
      <c r="K34" s="210"/>
      <c r="L34" s="219"/>
      <c r="M34" s="219"/>
      <c r="N34" s="220"/>
      <c r="O34" s="221"/>
      <c r="P34" s="214"/>
      <c r="Q34" s="214"/>
      <c r="R34" s="232"/>
      <c r="S34" s="232"/>
    </row>
    <row r="35" spans="1:20">
      <c r="A35" s="103" t="s">
        <v>77</v>
      </c>
      <c r="B35" s="40"/>
      <c r="C35" s="40"/>
      <c r="D35" s="190"/>
      <c r="E35" s="190"/>
      <c r="F35" s="218"/>
      <c r="G35" s="209"/>
      <c r="H35" s="214"/>
      <c r="I35" s="210"/>
      <c r="J35" s="210"/>
      <c r="K35" s="210"/>
      <c r="L35" s="219"/>
      <c r="M35" s="219"/>
      <c r="N35" s="220"/>
      <c r="O35" s="221"/>
      <c r="P35" s="214"/>
      <c r="Q35" s="214"/>
      <c r="R35" s="232"/>
      <c r="S35" s="232"/>
    </row>
    <row r="36" spans="1:20">
      <c r="A36" s="102" t="s">
        <v>282</v>
      </c>
      <c r="B36" s="224" t="s">
        <v>7</v>
      </c>
      <c r="C36" s="224" t="s">
        <v>233</v>
      </c>
      <c r="D36" s="225">
        <v>1</v>
      </c>
      <c r="E36" s="190" t="s">
        <v>238</v>
      </c>
      <c r="F36" s="13">
        <v>2.7</v>
      </c>
      <c r="G36" s="226" t="s">
        <v>233</v>
      </c>
      <c r="H36" s="227">
        <v>0</v>
      </c>
      <c r="I36" s="225">
        <v>110</v>
      </c>
      <c r="J36" s="225">
        <v>57</v>
      </c>
      <c r="K36" s="225">
        <v>5</v>
      </c>
      <c r="L36" s="228">
        <f>CHOOSE(LOOKUP(G36,$W$3:$X$6), "Enter Value", I36*D36*J36*K36*(1+H36), (PI()/4)*D36*I36*(1+H36)*J36^2, PI()*(1+H36)*D36*I36*J36*K36)</f>
        <v>31350</v>
      </c>
      <c r="M36" s="228">
        <f>L36*F36</f>
        <v>84645</v>
      </c>
      <c r="N36" s="229" t="e">
        <f>L36/E36</f>
        <v>#VALUE!</v>
      </c>
      <c r="O36" s="230">
        <v>3.4000000000000002E-2</v>
      </c>
      <c r="P36" s="217" t="s">
        <v>232</v>
      </c>
      <c r="Q36" s="231">
        <f>CHOOSE(LOOKUP(P36,$V$3:$V$5,$X$3:$X$5), O36*L36, O36*M36, O36*N36)</f>
        <v>2877.9300000000003</v>
      </c>
      <c r="R36" s="232">
        <f>IF(C36="Test", M36, 0)</f>
        <v>0</v>
      </c>
      <c r="S36" s="232">
        <f>IF(C36="Test", N36, 0)</f>
        <v>0</v>
      </c>
      <c r="T36" s="206">
        <f>IF(C36="Test", Q36, 0)</f>
        <v>0</v>
      </c>
    </row>
    <row r="37" spans="1:20">
      <c r="A37" s="102" t="s">
        <v>257</v>
      </c>
      <c r="B37" s="224" t="s">
        <v>7</v>
      </c>
      <c r="C37" s="224" t="s">
        <v>233</v>
      </c>
      <c r="D37" s="225">
        <v>2</v>
      </c>
      <c r="E37" s="190" t="s">
        <v>238</v>
      </c>
      <c r="F37" s="13">
        <v>2.7</v>
      </c>
      <c r="G37" s="226" t="s">
        <v>233</v>
      </c>
      <c r="H37" s="227">
        <v>0</v>
      </c>
      <c r="I37" s="225">
        <v>22</v>
      </c>
      <c r="J37" s="225">
        <v>44</v>
      </c>
      <c r="K37" s="225">
        <v>5</v>
      </c>
      <c r="L37" s="228">
        <f>CHOOSE(LOOKUP(G37,$W$3:$X$6), "Enter Value", I37*D37*J37*K37*(1+H37), (PI()/4)*D37*I37*(1+H37)*J37^2, PI()*(1+H37)*D37*I37*J37*K37)</f>
        <v>9680</v>
      </c>
      <c r="M37" s="228">
        <f>L37*F37</f>
        <v>26136</v>
      </c>
      <c r="N37" s="229" t="e">
        <f>L37/E37</f>
        <v>#VALUE!</v>
      </c>
      <c r="O37" s="230">
        <v>1.7000000000000001E-2</v>
      </c>
      <c r="P37" s="217" t="s">
        <v>232</v>
      </c>
      <c r="Q37" s="231">
        <f>CHOOSE(LOOKUP(P37,$V$3:$V$5,$X$3:$X$5), O37*L37, O37*M37, O37*N37)</f>
        <v>444.31200000000001</v>
      </c>
      <c r="R37" s="232">
        <f>IF(C37="Test", M37, 0)</f>
        <v>0</v>
      </c>
      <c r="S37" s="232">
        <f>IF(C37="Test", N37, 0)</f>
        <v>0</v>
      </c>
      <c r="T37" s="206">
        <f>IF(C37="Test", Q37, 0)</f>
        <v>0</v>
      </c>
    </row>
    <row r="38" spans="1:20">
      <c r="A38" s="102" t="s">
        <v>251</v>
      </c>
      <c r="B38" s="224" t="s">
        <v>7</v>
      </c>
      <c r="C38" s="224" t="s">
        <v>233</v>
      </c>
      <c r="D38" s="225">
        <v>1</v>
      </c>
      <c r="E38" s="190" t="s">
        <v>238</v>
      </c>
      <c r="F38" s="13">
        <v>2.7</v>
      </c>
      <c r="G38" s="226" t="s">
        <v>233</v>
      </c>
      <c r="H38" s="227">
        <v>0</v>
      </c>
      <c r="I38" s="225">
        <v>110</v>
      </c>
      <c r="J38" s="225">
        <v>57</v>
      </c>
      <c r="K38" s="225">
        <v>2.5</v>
      </c>
      <c r="L38" s="228">
        <f>CHOOSE(LOOKUP(G38,$W$3:$X$6), "Enter Value", I38*D38*J38*K38*(1+H38), (PI()/4)*D38*I38*(1+H38)*J38^2, PI()*(1+H38)*D38*I38*J38*K38)</f>
        <v>15675</v>
      </c>
      <c r="M38" s="228">
        <f>L38*F38</f>
        <v>42322.5</v>
      </c>
      <c r="N38" s="229" t="e">
        <f>L38/E38</f>
        <v>#VALUE!</v>
      </c>
      <c r="O38" s="230">
        <v>1.7000000000000001E-2</v>
      </c>
      <c r="P38" s="217" t="s">
        <v>232</v>
      </c>
      <c r="Q38" s="231">
        <f>CHOOSE(LOOKUP(P38,$V$3:$V$5,$X$3:$X$5), O38*L38, O38*M38, O38*N38)</f>
        <v>719.48250000000007</v>
      </c>
      <c r="R38" s="232">
        <f t="shared" si="1"/>
        <v>0</v>
      </c>
      <c r="S38" s="232">
        <f t="shared" si="2"/>
        <v>0</v>
      </c>
      <c r="T38" s="206">
        <f t="shared" si="0"/>
        <v>0</v>
      </c>
    </row>
    <row r="39" spans="1:20">
      <c r="A39" s="103" t="s">
        <v>247</v>
      </c>
      <c r="R39" s="232"/>
      <c r="S39" s="232"/>
    </row>
    <row r="40" spans="1:20">
      <c r="A40" s="102" t="s">
        <v>317</v>
      </c>
      <c r="B40" s="224" t="s">
        <v>124</v>
      </c>
      <c r="C40" s="224" t="s">
        <v>295</v>
      </c>
      <c r="D40" s="225">
        <v>30</v>
      </c>
      <c r="E40" s="190" t="s">
        <v>238</v>
      </c>
      <c r="F40" s="13">
        <v>1.52</v>
      </c>
      <c r="G40" s="226" t="s">
        <v>233</v>
      </c>
      <c r="H40" s="227">
        <v>0</v>
      </c>
      <c r="I40" s="225">
        <v>3</v>
      </c>
      <c r="J40" s="225">
        <v>2</v>
      </c>
      <c r="K40" s="225">
        <v>2</v>
      </c>
      <c r="L40" s="228">
        <f>CHOOSE(LOOKUP(G40,$W$3:$X$6), "Enter Value", I40*D40*J40*K40*(1+H40), (PI()/4)*D40*I40*(1+H40)*J40^2, PI()*(1+H40)*D40*I40*J40*K40)</f>
        <v>360</v>
      </c>
      <c r="M40" s="228">
        <f>L40*F40</f>
        <v>547.20000000000005</v>
      </c>
      <c r="N40" s="229" t="e">
        <f>L40/E40</f>
        <v>#VALUE!</v>
      </c>
      <c r="O40" s="230">
        <v>1.24</v>
      </c>
      <c r="P40" s="217" t="s">
        <v>232</v>
      </c>
      <c r="Q40" s="231">
        <f>CHOOSE(LOOKUP(P40,$V$3:$V$5,$X$3:$X$5), O40*L40, O40*M40, O40*N40)</f>
        <v>678.52800000000002</v>
      </c>
      <c r="R40" s="232">
        <f t="shared" si="1"/>
        <v>0</v>
      </c>
      <c r="S40" s="232">
        <f t="shared" si="2"/>
        <v>0</v>
      </c>
      <c r="T40" s="206">
        <f t="shared" si="0"/>
        <v>0</v>
      </c>
    </row>
    <row r="42" spans="1:20">
      <c r="P42" s="233" t="s">
        <v>252</v>
      </c>
      <c r="Q42" s="231">
        <f>SUM(Q6:Q40)</f>
        <v>29154.407289650524</v>
      </c>
    </row>
    <row r="44" spans="1:20">
      <c r="C44" s="40" t="s">
        <v>288</v>
      </c>
      <c r="D44" s="190" t="s">
        <v>253</v>
      </c>
      <c r="E44" s="190" t="s">
        <v>227</v>
      </c>
    </row>
    <row r="45" spans="1:20">
      <c r="B45" s="40" t="s">
        <v>293</v>
      </c>
      <c r="C45" s="234">
        <f>SUM(R6:R40)/454</f>
        <v>6.7636728237575596</v>
      </c>
      <c r="D45" s="234">
        <f>SUM(S6:S40)</f>
        <v>5.1695411817944992</v>
      </c>
      <c r="E45" s="235">
        <f>SUM(T6:T40)</f>
        <v>3172.040808231468</v>
      </c>
    </row>
    <row r="46" spans="1:20">
      <c r="B46" s="40" t="s">
        <v>254</v>
      </c>
      <c r="C46" s="234">
        <f>C47-C45</f>
        <v>40.714434859492997</v>
      </c>
      <c r="D46" s="234">
        <f t="shared" ref="D46:E46" si="26">D47-D45</f>
        <v>31.118440111464338</v>
      </c>
      <c r="E46" s="235">
        <f t="shared" si="26"/>
        <v>19094.337089274741</v>
      </c>
    </row>
    <row r="47" spans="1:20">
      <c r="B47" s="106" t="s">
        <v>241</v>
      </c>
      <c r="C47" s="239">
        <f>SUMIF(B6:B40,B47, M6:M40)/454</f>
        <v>47.478107683250556</v>
      </c>
      <c r="D47" s="239">
        <f>SUMIF(B6:B40, B47, N6:N40)</f>
        <v>36.287981293258838</v>
      </c>
      <c r="E47" s="240">
        <f>SUMIF(B6:B40,B47, Q6:Q40)</f>
        <v>22266.377897506209</v>
      </c>
      <c r="F47" s="241" t="s">
        <v>252</v>
      </c>
      <c r="G47" s="235">
        <f>E47/D47</f>
        <v>613.60199999999998</v>
      </c>
    </row>
    <row r="49" spans="2:5">
      <c r="C49" s="40" t="s">
        <v>222</v>
      </c>
      <c r="D49" s="190" t="s">
        <v>255</v>
      </c>
      <c r="E49" s="190" t="s">
        <v>227</v>
      </c>
    </row>
    <row r="50" spans="2:5">
      <c r="B50" s="40" t="s">
        <v>245</v>
      </c>
      <c r="C50" s="234">
        <f>SUMIF(B6:B40,B50, L6:L40)</f>
        <v>0</v>
      </c>
      <c r="D50" s="234">
        <f>C50/946</f>
        <v>0</v>
      </c>
      <c r="E50" s="235">
        <f>SUMIF(B8:B43,B50, Q8:Q43)</f>
        <v>0</v>
      </c>
    </row>
    <row r="52" spans="2:5">
      <c r="C52" s="40" t="s">
        <v>288</v>
      </c>
      <c r="E52" s="190" t="s">
        <v>227</v>
      </c>
    </row>
    <row r="53" spans="2:5">
      <c r="B53" s="40" t="s">
        <v>7</v>
      </c>
      <c r="C53" s="197">
        <f>SUMIF(B6:B40,B53,M6:M40)/454</f>
        <v>468.78303964757708</v>
      </c>
      <c r="E53" s="31">
        <f>SUMIF(B6:B40,B53,Q6:Q40)</f>
        <v>5057.0325000000003</v>
      </c>
    </row>
  </sheetData>
  <mergeCells count="2">
    <mergeCell ref="A1:C1"/>
    <mergeCell ref="D1:Q1"/>
  </mergeCells>
  <dataValidations count="2">
    <dataValidation type="list" allowBlank="1" showInputMessage="1" showErrorMessage="1" sqref="P40 P33 P36:P38 P30 P27:P28 P23:P24 P6:P7 P20:P21 P13:P14 P16:P17 P9:P10">
      <formula1>$V$3:$V$5</formula1>
    </dataValidation>
    <dataValidation type="list" allowBlank="1" showInputMessage="1" showErrorMessage="1" sqref="G40 G33 G36:G38 G30 G27:G28 G23:G24 G6:G7 G20:G21 G13:G14 G16:G17 G9:G10">
      <formula1>$W$3:$W$6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</vt:lpstr>
      <vt:lpstr>Pre- and Production</vt:lpstr>
      <vt:lpstr>Rates</vt:lpstr>
      <vt:lpstr>Material Estimates</vt:lpstr>
      <vt:lpstr>CMM</vt:lpstr>
      <vt:lpstr>DES</vt:lpstr>
      <vt:lpstr>ENG</vt:lpstr>
      <vt:lpstr>M_Tech</vt:lpstr>
      <vt:lpstr>MT</vt:lpstr>
      <vt:lpstr>SUMMARY!Print_Area</vt:lpstr>
      <vt:lpstr>Shop</vt:lpstr>
    </vt:vector>
  </TitlesOfParts>
  <Company>LBNL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Anderssen</dc:creator>
  <cp:lastModifiedBy>Eric C. Anderssen</cp:lastModifiedBy>
  <cp:lastPrinted>2008-10-05T19:45:58Z</cp:lastPrinted>
  <dcterms:created xsi:type="dcterms:W3CDTF">2000-10-18T16:25:26Z</dcterms:created>
  <dcterms:modified xsi:type="dcterms:W3CDTF">2008-10-22T22:02:52Z</dcterms:modified>
</cp:coreProperties>
</file>